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50" activeTab="0"/>
  </bookViews>
  <sheets>
    <sheet name="ZMIANY NA 31.05.2007" sheetId="1" r:id="rId1"/>
  </sheets>
  <definedNames>
    <definedName name="Excel_BuiltIn__FilterDatabase_1">'ZMIANY NA 31.05.2007'!$F$1:$F$1882</definedName>
    <definedName name="_xlnm.Print_Titles" localSheetId="0">'ZMIANY NA 31.05.2007'!$2:$7</definedName>
  </definedNames>
  <calcPr fullCalcOnLoad="1"/>
</workbook>
</file>

<file path=xl/sharedStrings.xml><?xml version="1.0" encoding="utf-8"?>
<sst xmlns="http://schemas.openxmlformats.org/spreadsheetml/2006/main" count="1494" uniqueCount="303">
  <si>
    <t>Lp</t>
  </si>
  <si>
    <t>Nr inw. budynku</t>
  </si>
  <si>
    <t xml:space="preserve">                    Nieruchomość</t>
  </si>
  <si>
    <t>Nr</t>
  </si>
  <si>
    <t>Ilość lokali</t>
  </si>
  <si>
    <t xml:space="preserve">      Powierzchnia  w m2</t>
  </si>
  <si>
    <t>Wartość początkowa w zł</t>
  </si>
  <si>
    <t>Umorzenie w zł</t>
  </si>
  <si>
    <t>Wartość netto w zł</t>
  </si>
  <si>
    <t>Rok</t>
  </si>
  <si>
    <t xml:space="preserve">Stropy </t>
  </si>
  <si>
    <t>Konstr.</t>
  </si>
  <si>
    <t>Ogółem</t>
  </si>
  <si>
    <t>M</t>
  </si>
  <si>
    <t>U</t>
  </si>
  <si>
    <t xml:space="preserve">Razem </t>
  </si>
  <si>
    <t>Lokale mieszkalne</t>
  </si>
  <si>
    <t>Lokale użytkowe</t>
  </si>
  <si>
    <t>bud.</t>
  </si>
  <si>
    <t>drewn.</t>
  </si>
  <si>
    <t>dach</t>
  </si>
  <si>
    <t xml:space="preserve">                BUDYNKI    GMINY </t>
  </si>
  <si>
    <t>Police</t>
  </si>
  <si>
    <t>ASFALTOWA</t>
  </si>
  <si>
    <t xml:space="preserve">tak </t>
  </si>
  <si>
    <t>31a</t>
  </si>
  <si>
    <t>BANKOWA</t>
  </si>
  <si>
    <t>BOH. WESTERPLATTE</t>
  </si>
  <si>
    <t>CISOWA</t>
  </si>
  <si>
    <t>DĘBOWA</t>
  </si>
  <si>
    <t>DOLNA</t>
  </si>
  <si>
    <t>DRZYMAŁY                               R</t>
  </si>
  <si>
    <t xml:space="preserve">DRZYMAŁY                               </t>
  </si>
  <si>
    <t>DRZYMAŁY</t>
  </si>
  <si>
    <t>EM. PLATER</t>
  </si>
  <si>
    <t>GOLENIOWSKA</t>
  </si>
  <si>
    <t>GRUNWALDZKA</t>
  </si>
  <si>
    <t>H. KOŁŁĄTAJA</t>
  </si>
  <si>
    <t>M. KONOPNICKIEJ</t>
  </si>
  <si>
    <t>14-16</t>
  </si>
  <si>
    <t>KOŚCIUSZKI</t>
  </si>
  <si>
    <t>7a-7b</t>
  </si>
  <si>
    <t>KOŚCIUSZKI                             R</t>
  </si>
  <si>
    <t>KRESOWA</t>
  </si>
  <si>
    <t>MIRECKIEGO</t>
  </si>
  <si>
    <t>NADBRZEŻNA</t>
  </si>
  <si>
    <t>43a</t>
  </si>
  <si>
    <t>NIEDZIAŁKOWSKIEGO</t>
  </si>
  <si>
    <t>NIEDZIAŁKOWSKIEGO    M</t>
  </si>
  <si>
    <t>12a</t>
  </si>
  <si>
    <t>12b</t>
  </si>
  <si>
    <t>12c</t>
  </si>
  <si>
    <t>12d</t>
  </si>
  <si>
    <t>ODRZAŃSKA</t>
  </si>
  <si>
    <t xml:space="preserve">ODRZAŃSKA </t>
  </si>
  <si>
    <t>PALMOWA</t>
  </si>
  <si>
    <t>PL. NIEZ. ŻOŁNIERZA</t>
  </si>
  <si>
    <t>POLNA</t>
  </si>
  <si>
    <t>SIKORSKIEGO                         R</t>
  </si>
  <si>
    <t>STARZYŃSKIEGO</t>
  </si>
  <si>
    <t>SZKOLNA-SIKORSKIEGO</t>
  </si>
  <si>
    <t>5-7/11</t>
  </si>
  <si>
    <t>TARGOWA</t>
  </si>
  <si>
    <t>TRAUGUTTA</t>
  </si>
  <si>
    <t>WOJ. POLSKIEGO</t>
  </si>
  <si>
    <t>WOJ. POLSKIEGO                  R</t>
  </si>
  <si>
    <t>3-Police</t>
  </si>
  <si>
    <t>ANNY</t>
  </si>
  <si>
    <t>BRONIEWSKIEGO</t>
  </si>
  <si>
    <t>DWORCOWA</t>
  </si>
  <si>
    <t>KOPERNIKA</t>
  </si>
  <si>
    <t>PIASTÓW</t>
  </si>
  <si>
    <t>40a</t>
  </si>
  <si>
    <t>PIASTÓW                                  R</t>
  </si>
  <si>
    <t>PODGÓRNA</t>
  </si>
  <si>
    <t>RYBACKA</t>
  </si>
  <si>
    <t>WODNA</t>
  </si>
  <si>
    <t>ZIELONA</t>
  </si>
  <si>
    <t>Trzebież</t>
  </si>
  <si>
    <t>KOŚCIUSZKI                            R</t>
  </si>
  <si>
    <t>LEŚNA</t>
  </si>
  <si>
    <t>OSADNIKÓW</t>
  </si>
  <si>
    <t>PORTOWA</t>
  </si>
  <si>
    <t>SZKOLNA</t>
  </si>
  <si>
    <t>W O P</t>
  </si>
  <si>
    <t>Siedlice</t>
  </si>
  <si>
    <t>POLICKA</t>
  </si>
  <si>
    <t>Przęsocin</t>
  </si>
  <si>
    <t>Pilchowo</t>
  </si>
  <si>
    <t>SPACEROWA</t>
  </si>
  <si>
    <t>Tanowo</t>
  </si>
  <si>
    <t>SZCZECIŃSKA</t>
  </si>
  <si>
    <t xml:space="preserve">UNIEMYŚL   </t>
  </si>
  <si>
    <t>16 d</t>
  </si>
  <si>
    <t xml:space="preserve">ZIELONA </t>
  </si>
  <si>
    <t>RAZEM WYŁĄCZNIE GMINA</t>
  </si>
  <si>
    <t>15-17</t>
  </si>
  <si>
    <t>21-23</t>
  </si>
  <si>
    <t>29-31</t>
  </si>
  <si>
    <t>35-37</t>
  </si>
  <si>
    <t>43-45</t>
  </si>
  <si>
    <t>47-49</t>
  </si>
  <si>
    <t>BARNIMA</t>
  </si>
  <si>
    <t>18-20</t>
  </si>
  <si>
    <t>1-3-5-7</t>
  </si>
  <si>
    <t>2-4-6-8</t>
  </si>
  <si>
    <t>13-15-17</t>
  </si>
  <si>
    <t>16-18-20</t>
  </si>
  <si>
    <t>23-25-27</t>
  </si>
  <si>
    <t>26-28-30</t>
  </si>
  <si>
    <t>GRZYBOWA</t>
  </si>
  <si>
    <t>10-12-14-16-18</t>
  </si>
  <si>
    <t>29-31-33-35-37</t>
  </si>
  <si>
    <t>46-48</t>
  </si>
  <si>
    <t>9-11</t>
  </si>
  <si>
    <t>29-31-33-35</t>
  </si>
  <si>
    <t>KORCZAKA</t>
  </si>
  <si>
    <t>MAZURSKA</t>
  </si>
  <si>
    <t>1-3-5</t>
  </si>
  <si>
    <t>NOWOPOL</t>
  </si>
  <si>
    <t>9-11-13</t>
  </si>
  <si>
    <t>15-17-19</t>
  </si>
  <si>
    <t xml:space="preserve">NOWOPOL            </t>
  </si>
  <si>
    <t>2-4-6</t>
  </si>
  <si>
    <t>19-21-23</t>
  </si>
  <si>
    <t>20-22-24</t>
  </si>
  <si>
    <t>24-26</t>
  </si>
  <si>
    <t>P.C.K.</t>
  </si>
  <si>
    <t>PIASKOWA</t>
  </si>
  <si>
    <t>39-41-43</t>
  </si>
  <si>
    <t>45-47</t>
  </si>
  <si>
    <t>J.PIŁSUDSKIEGO</t>
  </si>
  <si>
    <t>8 a,b,c</t>
  </si>
  <si>
    <t>10 a,b,c</t>
  </si>
  <si>
    <t>12 a,b,c</t>
  </si>
  <si>
    <t>ROBOTNICZA</t>
  </si>
  <si>
    <t>1-3-5-7-9</t>
  </si>
  <si>
    <t>2-4-6-8-10-12</t>
  </si>
  <si>
    <t>20-22</t>
  </si>
  <si>
    <t xml:space="preserve">ROBOTNICZA                 </t>
  </si>
  <si>
    <t>ROGOWA</t>
  </si>
  <si>
    <t>1-2-3</t>
  </si>
  <si>
    <t>4-5</t>
  </si>
  <si>
    <t>7-8</t>
  </si>
  <si>
    <t>9-10</t>
  </si>
  <si>
    <t>RYCERSKA</t>
  </si>
  <si>
    <t>9-11-13-15</t>
  </si>
  <si>
    <t>SIKORSKIEGO</t>
  </si>
  <si>
    <t>SIKORSKIEGO-SZKOLNA</t>
  </si>
  <si>
    <t>5-7-9/4</t>
  </si>
  <si>
    <t>SŁOWIAŃSKA</t>
  </si>
  <si>
    <t xml:space="preserve">WOJ. POLSKIEGO        </t>
  </si>
  <si>
    <t>WOJ.POLSKIEGO</t>
  </si>
  <si>
    <t>ZAMENHOFA/BANKOWA</t>
  </si>
  <si>
    <t>1-1a-1b / 6a-6b</t>
  </si>
  <si>
    <t>ZAMENHOFA</t>
  </si>
  <si>
    <t>BOCZNA</t>
  </si>
  <si>
    <t>7a</t>
  </si>
  <si>
    <t>KWIATKOWSKIEGO</t>
  </si>
  <si>
    <t xml:space="preserve">Trzebież </t>
  </si>
  <si>
    <t xml:space="preserve">W O P </t>
  </si>
  <si>
    <t>CENTRALNA</t>
  </si>
  <si>
    <t xml:space="preserve">ZAMENHOFA                 </t>
  </si>
  <si>
    <t xml:space="preserve">SIENKIEWICZA </t>
  </si>
  <si>
    <t>Trzeszczyn</t>
  </si>
  <si>
    <t>ŻYMIERSKIEGO</t>
  </si>
  <si>
    <t>RAZEM BUDYNKI OBJĘTE WSPÓŁWŁASNOSCIĄ</t>
  </si>
  <si>
    <t>***)</t>
  </si>
  <si>
    <t xml:space="preserve">LOKALE  W BUDYNKACH  PRZEKAZANYCH </t>
  </si>
  <si>
    <t xml:space="preserve">NOWA JASIENICA  </t>
  </si>
  <si>
    <t>Wieńkowo</t>
  </si>
  <si>
    <t xml:space="preserve">LEŚNA </t>
  </si>
  <si>
    <t>RAZEM LOKALE W BUDYNKACH PRZEKAZANYCH</t>
  </si>
  <si>
    <t xml:space="preserve">BUDYNKI   UŻYTKOWE </t>
  </si>
  <si>
    <t>13-15</t>
  </si>
  <si>
    <t xml:space="preserve">Police </t>
  </si>
  <si>
    <t xml:space="preserve">M KONOPNICKIEJ </t>
  </si>
  <si>
    <t>3a</t>
  </si>
  <si>
    <t>PL. CHROBREGO /okr./</t>
  </si>
  <si>
    <t>PL. CHROBREGO</t>
  </si>
  <si>
    <t xml:space="preserve">SIKORSKIEGO </t>
  </si>
  <si>
    <t xml:space="preserve">WOP </t>
  </si>
  <si>
    <t>STASZICA</t>
  </si>
  <si>
    <t>62a</t>
  </si>
  <si>
    <t xml:space="preserve">Szalet pub. Piłsudskiego </t>
  </si>
  <si>
    <t xml:space="preserve">Garaż   Piastów  </t>
  </si>
  <si>
    <t xml:space="preserve">Garaż   Kościuszki   </t>
  </si>
  <si>
    <t xml:space="preserve">Garaż  Starzyńskiego </t>
  </si>
  <si>
    <t xml:space="preserve">Police  </t>
  </si>
  <si>
    <t xml:space="preserve">Garaż   Konopnickiej </t>
  </si>
  <si>
    <t>RAZEM BUDYNKI UŻYTKOWE</t>
  </si>
  <si>
    <t xml:space="preserve"> </t>
  </si>
  <si>
    <t xml:space="preserve">Magazyn - Garaże </t>
  </si>
  <si>
    <t>Magazyn ze  stolarnią</t>
  </si>
  <si>
    <t xml:space="preserve">Magazyn Gazów tech. </t>
  </si>
  <si>
    <t xml:space="preserve">Wiata magazynowa </t>
  </si>
  <si>
    <t>Portiernia</t>
  </si>
  <si>
    <t>0001</t>
  </si>
  <si>
    <t xml:space="preserve">Drogi i Place  ZT </t>
  </si>
  <si>
    <t>RAZEM ZAPLECZE TECHNICZNE</t>
  </si>
  <si>
    <t>ZAPLECZE  TECHNICZNE  -  TANOWSKA 8</t>
  </si>
  <si>
    <t xml:space="preserve">POZOSTAŁE </t>
  </si>
  <si>
    <t>Bud. Soc. -Cmentarz</t>
  </si>
  <si>
    <t xml:space="preserve">Dom Prrzdpogrzebowy </t>
  </si>
  <si>
    <t>Pom.Cmet. Lapidarium *)</t>
  </si>
  <si>
    <t>0003</t>
  </si>
  <si>
    <t xml:space="preserve">Droga  żużlowa  Tanowska </t>
  </si>
  <si>
    <t>0004</t>
  </si>
  <si>
    <t xml:space="preserve">police </t>
  </si>
  <si>
    <t>Doj. Do bramy cm. Piastów</t>
  </si>
  <si>
    <t>0002</t>
  </si>
  <si>
    <t xml:space="preserve">Alejka z polbruku - Brzozowa </t>
  </si>
  <si>
    <t>RAZEM POZOSTAŁE</t>
  </si>
  <si>
    <t xml:space="preserve">POZOSTAŁE  BUDYNKI NIEMIESZKALNE </t>
  </si>
  <si>
    <t>Police  użytkownik  09013</t>
  </si>
  <si>
    <t>Trzebież użytkownik    09014</t>
  </si>
  <si>
    <t>Wsie    użytkownik        09015</t>
  </si>
  <si>
    <t>RAZEM POZOSTAŁE BUDYNKI NIEMIESZKALNE</t>
  </si>
  <si>
    <t xml:space="preserve">ŚRODKI OBCE OTRZYMANE W NIEODPŁATNY ZARZĄD  W EWIDENCJI ZGKIM </t>
  </si>
  <si>
    <t>Dworcowa 7</t>
  </si>
  <si>
    <t>****)</t>
  </si>
  <si>
    <t xml:space="preserve">OGÓŁEM </t>
  </si>
  <si>
    <t>*)</t>
  </si>
  <si>
    <t xml:space="preserve">Propozycja  ubezpieczenia   od  dewastacji- Pomnik cmentarny -Lapidarium </t>
  </si>
  <si>
    <t>Budynki objęte  współwłasnością</t>
  </si>
  <si>
    <t>"R"</t>
  </si>
  <si>
    <t>Środki obce otrzymane w nieodpłatny zarząd nie objęte ubezpieczeniem 1 szt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</si>
  <si>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</si>
  <si>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</si>
  <si>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</si>
  <si>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</si>
  <si>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</si>
  <si>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</si>
  <si>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</si>
  <si>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</si>
  <si>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</si>
  <si>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</si>
  <si>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</si>
  <si>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Stan powierzchni w m2 na 31.03.2007 r</t>
  </si>
  <si>
    <t>Woj..Polskiego 51 -nowy pomiar</t>
  </si>
  <si>
    <t>Odrzańska 10- modernizacja</t>
  </si>
  <si>
    <t>Polna 1 Przęsocin - inwentaryzacja</t>
  </si>
  <si>
    <t>Asfaltowa 14 -wykup lokalu (nowa wspólnota)</t>
  </si>
  <si>
    <t>Bankowa 11a/16-nowy pomiar w lok.użytk.</t>
  </si>
  <si>
    <t>Bankowa 11a/21-nowy pomiar w lok.użytk.</t>
  </si>
  <si>
    <t>ZESTAWIENIE  BUDYNKÓW     I  BUDOWLI   DO   UBEZPIECZENIA   WG.  STANU  NA 31.05.2007 r</t>
  </si>
  <si>
    <t>Stan powierzchni w m2 na 31.05.2007 r po zmianach i korektach</t>
  </si>
  <si>
    <t>Rodzaj modernizacji</t>
  </si>
  <si>
    <t>18</t>
  </si>
  <si>
    <t>Rok modernizacji</t>
  </si>
  <si>
    <t>2006</t>
  </si>
  <si>
    <t>instalacja gazowa wewnętrzna</t>
  </si>
  <si>
    <t>NIEDZIAŁKOWSKIEGO  R</t>
  </si>
  <si>
    <t>1968</t>
  </si>
  <si>
    <t>2005</t>
  </si>
  <si>
    <t>Remont dachu</t>
  </si>
  <si>
    <t>wyk.inst.gazowej wewnętrznej</t>
  </si>
  <si>
    <t>wyk.inst.gaz.</t>
  </si>
  <si>
    <t>wyk.inst.gaz.wewnętrznej</t>
  </si>
  <si>
    <t>wyk.inst.gaz.wewn.</t>
  </si>
  <si>
    <t xml:space="preserve">POLNA                                       </t>
  </si>
  <si>
    <t>przemurow.kominów</t>
  </si>
  <si>
    <t>wyk.inst.gazowej wewn.</t>
  </si>
  <si>
    <t>wyk..inst.gaz. wewn.</t>
  </si>
  <si>
    <t xml:space="preserve"> Remont dachu</t>
  </si>
  <si>
    <t>46-50-52-54-56</t>
  </si>
  <si>
    <t>Budynki  do rozbiórki  nie objęte ubezpieczeniem 9 budynków</t>
  </si>
  <si>
    <t xml:space="preserve">Koszt  odtworzenia 1 m2 </t>
  </si>
  <si>
    <t>19</t>
  </si>
  <si>
    <t>suma do ubezpieczenia</t>
  </si>
  <si>
    <t>Suma ubezpieczenia</t>
  </si>
  <si>
    <t>Uwagi</t>
  </si>
  <si>
    <t>budynek do rozbiórki</t>
  </si>
  <si>
    <t>wspólnota odeszła 02.04.2007</t>
  </si>
  <si>
    <t xml:space="preserve">M. KONOPNICKIEJ                 </t>
  </si>
  <si>
    <t>wspólnota odeszła 30.06.2007</t>
  </si>
  <si>
    <t>brak  polis OC                    ***)</t>
  </si>
  <si>
    <t>suma ubezp.bud.użuytkowych gminnych</t>
  </si>
  <si>
    <t>suma ubezp.bud.użytkowych objętych współwłasnością</t>
  </si>
  <si>
    <t xml:space="preserve">suma ubezp.liczona od poz 2 i 5 zaplecza technicznego </t>
  </si>
  <si>
    <t>suma ubezp.liczona od poz.1 i 2 wg kwoty odtworzeniowej</t>
  </si>
  <si>
    <t>suma do ubezpieczenia  od wartości księgowej poz 4,5 i 6</t>
  </si>
  <si>
    <t>ubezpieczenie tylko od dewastacji</t>
  </si>
  <si>
    <t>suma ubezp.od wartości księg.brutto liczona od poz 1,3,4 i 6</t>
  </si>
  <si>
    <t>zmiany 30.06.2007</t>
  </si>
  <si>
    <t>Wop 2 Trzebież -wspólnota odeszła 02.04.2007 w zarząd powierniczy</t>
  </si>
  <si>
    <t>Boh.Westerplatte 12 -odchodzi w 100%w zarząd właścicieli</t>
  </si>
  <si>
    <t>Konopnickiej 24 -odchodzi w 100% w zarząd właścicieli</t>
  </si>
  <si>
    <t>Wop 2 Trzebież -pozostały 4 lokale gminne</t>
  </si>
  <si>
    <t>brak polis OC i ubezpieczony jest od ognia i innych żywiołów tylko udział gminny 217,98</t>
  </si>
  <si>
    <t xml:space="preserve">brak polis OC  i ubezpieczony jest od ognia i innych żywiołów tylko udział gminy 126,79  </t>
  </si>
  <si>
    <t>Nr wspólnoty</t>
  </si>
  <si>
    <t>36-36a</t>
  </si>
  <si>
    <t>20-22-24-26-28-30-32-34</t>
  </si>
  <si>
    <t>19-21-23-25-27-29</t>
  </si>
  <si>
    <t>Warsztat-Grunwaldzka 15a,c użytkownik 09013</t>
  </si>
  <si>
    <t>suma do ubezpieczenia od wartości księgowej liczona od poz. 1,3,4</t>
  </si>
  <si>
    <t>suma do ubezpieczenia liczona wg kwoty odtworzeniowej od poz.2</t>
  </si>
  <si>
    <t>Grunwaldzka 15a-c-warsztat (nowa wspólnota)</t>
  </si>
  <si>
    <t xml:space="preserve">Szczecińska  16-odjęcie udziału wspólnoty(nie ubezpieczony) </t>
  </si>
  <si>
    <t xml:space="preserve">Palmowa 12-odjęcie udziału wspólnoty(nie ubezpieczony) </t>
  </si>
  <si>
    <t>167 wspólnot</t>
  </si>
  <si>
    <t xml:space="preserve">Zmiany w m2 lub korekty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</si>
</sst>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&quot; zł&quot;;[Red]\-#,##0.00&quot; zł&quot;"/>
    <numFmt numFmtId="166" formatCode="_-* #,##0\ _z_ł_-;\-* #,##0\ _z_ł_-;_-* &quot;- &quot;_z_ł_-;_-@_-"/>
    <numFmt numFmtId="167" formatCode="#,##0_ ;\-#,##0\ "/>
  </numFmts>
  <fonts count="9">
    <font>
      <sz val="10"/>
      <name val="MS Sans Serif"/>
      <family val="0"/>
    </font>
    <font>
      <sz val="10"/>
      <name val="Arial"/>
      <family val="0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53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2">
    <xf numFmtId="2" fontId="0" fillId="0" borderId="1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165" fontId="0" fillId="0" borderId="1" applyFill="0" applyProtection="0">
      <alignment horizontal="right"/>
    </xf>
    <xf numFmtId="42" fontId="1" fillId="0" borderId="0" applyFill="0" applyBorder="0" applyAlignment="0" applyProtection="0"/>
  </cellStyleXfs>
  <cellXfs count="504">
    <xf numFmtId="2" fontId="0" fillId="0" borderId="1" xfId="0" applyAlignment="1">
      <alignment horizontal="right"/>
    </xf>
    <xf numFmtId="2" fontId="0" fillId="0" borderId="2" xfId="0" applyBorder="1" applyAlignment="1">
      <alignment horizontal="right"/>
    </xf>
    <xf numFmtId="2" fontId="0" fillId="0" borderId="0" xfId="0" applyBorder="1" applyAlignment="1">
      <alignment horizontal="right"/>
    </xf>
    <xf numFmtId="2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/>
    </xf>
    <xf numFmtId="2" fontId="2" fillId="0" borderId="4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2" fontId="2" fillId="0" borderId="1" xfId="0" applyFont="1" applyBorder="1" applyAlignment="1">
      <alignment horizontal="right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2" fontId="2" fillId="0" borderId="5" xfId="0" applyFont="1" applyBorder="1" applyAlignment="1">
      <alignment horizontal="center"/>
    </xf>
    <xf numFmtId="2" fontId="0" fillId="0" borderId="7" xfId="0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Font="1" applyBorder="1" applyAlignment="1">
      <alignment horizontal="left"/>
    </xf>
    <xf numFmtId="1" fontId="0" fillId="0" borderId="3" xfId="0" applyNumberFormat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" fontId="0" fillId="0" borderId="3" xfId="0" applyNumberFormat="1" applyBorder="1" applyAlignment="1">
      <alignment horizontal="right"/>
    </xf>
    <xf numFmtId="2" fontId="0" fillId="0" borderId="3" xfId="0" applyFont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" fontId="0" fillId="0" borderId="3" xfId="0" applyNumberFormat="1" applyFill="1" applyBorder="1" applyAlignment="1">
      <alignment/>
    </xf>
    <xf numFmtId="1" fontId="0" fillId="0" borderId="3" xfId="0" applyNumberFormat="1" applyFont="1" applyFill="1" applyBorder="1" applyAlignment="1">
      <alignment horizontal="left"/>
    </xf>
    <xf numFmtId="1" fontId="0" fillId="0" borderId="3" xfId="0" applyNumberFormat="1" applyFill="1" applyBorder="1" applyAlignment="1">
      <alignment horizontal="right"/>
    </xf>
    <xf numFmtId="1" fontId="0" fillId="3" borderId="3" xfId="0" applyNumberFormat="1" applyFill="1" applyBorder="1" applyAlignment="1">
      <alignment/>
    </xf>
    <xf numFmtId="1" fontId="0" fillId="3" borderId="3" xfId="0" applyNumberFormat="1" applyFont="1" applyFill="1" applyBorder="1" applyAlignment="1">
      <alignment horizontal="left"/>
    </xf>
    <xf numFmtId="1" fontId="0" fillId="3" borderId="3" xfId="0" applyNumberFormat="1" applyFont="1" applyFill="1" applyBorder="1" applyAlignment="1">
      <alignment horizontal="right"/>
    </xf>
    <xf numFmtId="164" fontId="0" fillId="3" borderId="3" xfId="0" applyNumberFormat="1" applyFill="1" applyBorder="1" applyAlignment="1">
      <alignment horizontal="right"/>
    </xf>
    <xf numFmtId="164" fontId="0" fillId="3" borderId="3" xfId="0" applyNumberFormat="1" applyFill="1" applyBorder="1" applyAlignment="1">
      <alignment horizontal="right"/>
    </xf>
    <xf numFmtId="164" fontId="0" fillId="3" borderId="3" xfId="0" applyNumberFormat="1" applyFont="1" applyFill="1" applyBorder="1" applyAlignment="1">
      <alignment horizontal="right"/>
    </xf>
    <xf numFmtId="1" fontId="0" fillId="3" borderId="3" xfId="0" applyNumberFormat="1" applyFill="1" applyBorder="1" applyAlignment="1">
      <alignment horizontal="right"/>
    </xf>
    <xf numFmtId="2" fontId="0" fillId="3" borderId="3" xfId="0" applyFon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1" fontId="0" fillId="0" borderId="3" xfId="0" applyNumberFormat="1" applyFill="1" applyBorder="1" applyAlignment="1">
      <alignment horizontal="right"/>
    </xf>
    <xf numFmtId="2" fontId="0" fillId="0" borderId="3" xfId="0" applyFont="1" applyFill="1" applyBorder="1" applyAlignment="1">
      <alignment horizontal="right"/>
    </xf>
    <xf numFmtId="165" fontId="0" fillId="0" borderId="3" xfId="20" applyFont="1" applyFill="1" applyBorder="1" applyAlignment="1" applyProtection="1">
      <alignment horizontal="left"/>
      <protection/>
    </xf>
    <xf numFmtId="1" fontId="0" fillId="4" borderId="3" xfId="0" applyNumberFormat="1" applyFill="1" applyBorder="1" applyAlignment="1">
      <alignment/>
    </xf>
    <xf numFmtId="1" fontId="0" fillId="4" borderId="3" xfId="0" applyNumberFormat="1" applyFont="1" applyFill="1" applyBorder="1" applyAlignment="1">
      <alignment horizontal="left"/>
    </xf>
    <xf numFmtId="1" fontId="0" fillId="4" borderId="3" xfId="0" applyNumberFormat="1" applyFill="1" applyBorder="1" applyAlignment="1">
      <alignment horizontal="right"/>
    </xf>
    <xf numFmtId="164" fontId="0" fillId="4" borderId="3" xfId="0" applyNumberFormat="1" applyFill="1" applyBorder="1" applyAlignment="1">
      <alignment horizontal="right"/>
    </xf>
    <xf numFmtId="49" fontId="0" fillId="4" borderId="3" xfId="0" applyNumberFormat="1" applyFont="1" applyFill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4" xfId="0" applyNumberFormat="1" applyFont="1" applyBorder="1" applyAlignment="1">
      <alignment horizontal="left"/>
    </xf>
    <xf numFmtId="164" fontId="0" fillId="0" borderId="4" xfId="0" applyNumberFormat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left"/>
    </xf>
    <xf numFmtId="164" fontId="0" fillId="0" borderId="4" xfId="0" applyNumberFormat="1" applyFill="1" applyBorder="1" applyAlignment="1">
      <alignment horizontal="right"/>
    </xf>
    <xf numFmtId="2" fontId="0" fillId="0" borderId="0" xfId="0" applyFill="1" applyBorder="1" applyAlignment="1">
      <alignment horizontal="right"/>
    </xf>
    <xf numFmtId="166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2" fontId="0" fillId="0" borderId="3" xfId="0" applyBorder="1" applyAlignment="1">
      <alignment horizontal="left"/>
    </xf>
    <xf numFmtId="2" fontId="0" fillId="0" borderId="0" xfId="0" applyFont="1" applyBorder="1" applyAlignment="1">
      <alignment horizontal="left"/>
    </xf>
    <xf numFmtId="2" fontId="2" fillId="0" borderId="9" xfId="0" applyFont="1" applyBorder="1" applyAlignment="1">
      <alignment/>
    </xf>
    <xf numFmtId="2" fontId="0" fillId="0" borderId="9" xfId="0" applyBorder="1" applyAlignment="1">
      <alignment/>
    </xf>
    <xf numFmtId="2" fontId="0" fillId="0" borderId="9" xfId="0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2" fontId="2" fillId="0" borderId="0" xfId="0" applyFont="1" applyBorder="1" applyAlignment="1">
      <alignment/>
    </xf>
    <xf numFmtId="2" fontId="0" fillId="0" borderId="0" xfId="0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2" fontId="4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7" fontId="0" fillId="0" borderId="3" xfId="0" applyNumberFormat="1" applyFont="1" applyFill="1" applyBorder="1" applyAlignment="1">
      <alignment horizontal="right"/>
    </xf>
    <xf numFmtId="2" fontId="0" fillId="0" borderId="0" xfId="0" applyFill="1" applyBorder="1" applyAlignment="1">
      <alignment horizontal="left"/>
    </xf>
    <xf numFmtId="1" fontId="0" fillId="4" borderId="3" xfId="0" applyNumberFormat="1" applyFill="1" applyBorder="1" applyAlignment="1">
      <alignment horizontal="right"/>
    </xf>
    <xf numFmtId="2" fontId="0" fillId="5" borderId="3" xfId="0" applyFill="1" applyBorder="1" applyAlignment="1">
      <alignment horizontal="right"/>
    </xf>
    <xf numFmtId="2" fontId="2" fillId="0" borderId="0" xfId="0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2" fontId="0" fillId="0" borderId="0" xfId="0" applyFill="1" applyBorder="1" applyAlignment="1">
      <alignment/>
    </xf>
    <xf numFmtId="2" fontId="2" fillId="0" borderId="3" xfId="0" applyFont="1" applyFill="1" applyBorder="1" applyAlignment="1">
      <alignment/>
    </xf>
    <xf numFmtId="1" fontId="2" fillId="0" borderId="3" xfId="0" applyNumberFormat="1" applyFont="1" applyFill="1" applyBorder="1" applyAlignment="1">
      <alignment/>
    </xf>
    <xf numFmtId="2" fontId="2" fillId="0" borderId="2" xfId="0" applyFont="1" applyFill="1" applyBorder="1" applyAlignment="1">
      <alignment/>
    </xf>
    <xf numFmtId="2" fontId="2" fillId="0" borderId="9" xfId="0" applyFont="1" applyFill="1" applyBorder="1" applyAlignment="1">
      <alignment/>
    </xf>
    <xf numFmtId="2" fontId="2" fillId="0" borderId="0" xfId="0" applyFont="1" applyFill="1" applyBorder="1" applyAlignment="1">
      <alignment/>
    </xf>
    <xf numFmtId="2" fontId="0" fillId="0" borderId="2" xfId="0" applyFill="1" applyBorder="1" applyAlignment="1">
      <alignment horizontal="right"/>
    </xf>
    <xf numFmtId="2" fontId="0" fillId="0" borderId="10" xfId="0" applyFill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2" fontId="0" fillId="0" borderId="10" xfId="0" applyBorder="1" applyAlignment="1">
      <alignment horizontal="right"/>
    </xf>
    <xf numFmtId="2" fontId="4" fillId="0" borderId="10" xfId="0" applyFont="1" applyBorder="1" applyAlignment="1">
      <alignment horizontal="right"/>
    </xf>
    <xf numFmtId="1" fontId="0" fillId="5" borderId="3" xfId="0" applyNumberFormat="1" applyFill="1" applyBorder="1" applyAlignment="1">
      <alignment/>
    </xf>
    <xf numFmtId="1" fontId="0" fillId="5" borderId="3" xfId="0" applyNumberFormat="1" applyFont="1" applyFill="1" applyBorder="1" applyAlignment="1">
      <alignment horizontal="left"/>
    </xf>
    <xf numFmtId="1" fontId="0" fillId="5" borderId="3" xfId="0" applyNumberFormat="1" applyFont="1" applyFill="1" applyBorder="1" applyAlignment="1">
      <alignment horizontal="right"/>
    </xf>
    <xf numFmtId="164" fontId="0" fillId="5" borderId="3" xfId="0" applyNumberFormat="1" applyFill="1" applyBorder="1" applyAlignment="1">
      <alignment horizontal="right"/>
    </xf>
    <xf numFmtId="164" fontId="0" fillId="5" borderId="3" xfId="0" applyNumberFormat="1" applyFill="1" applyBorder="1" applyAlignment="1">
      <alignment horizontal="right"/>
    </xf>
    <xf numFmtId="164" fontId="0" fillId="5" borderId="3" xfId="0" applyNumberFormat="1" applyFont="1" applyFill="1" applyBorder="1" applyAlignment="1">
      <alignment horizontal="right"/>
    </xf>
    <xf numFmtId="1" fontId="0" fillId="5" borderId="3" xfId="0" applyNumberFormat="1" applyFill="1" applyBorder="1" applyAlignment="1">
      <alignment horizontal="right"/>
    </xf>
    <xf numFmtId="1" fontId="0" fillId="5" borderId="1" xfId="0" applyNumberFormat="1" applyFill="1" applyAlignment="1">
      <alignment horizontal="right"/>
    </xf>
    <xf numFmtId="1" fontId="0" fillId="5" borderId="1" xfId="0" applyNumberFormat="1" applyFont="1" applyFill="1" applyAlignment="1">
      <alignment/>
    </xf>
    <xf numFmtId="164" fontId="0" fillId="6" borderId="1" xfId="0" applyNumberFormat="1" applyFill="1" applyAlignment="1">
      <alignment horizontal="right"/>
    </xf>
    <xf numFmtId="1" fontId="0" fillId="6" borderId="3" xfId="0" applyNumberFormat="1" applyFill="1" applyBorder="1" applyAlignment="1">
      <alignment/>
    </xf>
    <xf numFmtId="1" fontId="0" fillId="6" borderId="3" xfId="0" applyNumberFormat="1" applyFill="1" applyBorder="1" applyAlignment="1">
      <alignment horizontal="right"/>
    </xf>
    <xf numFmtId="1" fontId="0" fillId="6" borderId="3" xfId="0" applyNumberFormat="1" applyFont="1" applyFill="1" applyBorder="1" applyAlignment="1">
      <alignment horizontal="left"/>
    </xf>
    <xf numFmtId="164" fontId="0" fillId="6" borderId="3" xfId="0" applyNumberFormat="1" applyFill="1" applyBorder="1" applyAlignment="1">
      <alignment horizontal="right"/>
    </xf>
    <xf numFmtId="164" fontId="0" fillId="6" borderId="3" xfId="0" applyNumberFormat="1" applyFont="1" applyFill="1" applyBorder="1" applyAlignment="1">
      <alignment horizontal="right"/>
    </xf>
    <xf numFmtId="1" fontId="0" fillId="6" borderId="3" xfId="0" applyNumberFormat="1" applyFill="1" applyBorder="1" applyAlignment="1">
      <alignment horizontal="right"/>
    </xf>
    <xf numFmtId="2" fontId="0" fillId="6" borderId="3" xfId="0" applyFon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2" fontId="0" fillId="5" borderId="3" xfId="0" applyFill="1" applyBorder="1" applyAlignment="1">
      <alignment horizontal="left"/>
    </xf>
    <xf numFmtId="1" fontId="0" fillId="5" borderId="4" xfId="0" applyNumberFormat="1" applyFill="1" applyBorder="1" applyAlignment="1">
      <alignment horizontal="right"/>
    </xf>
    <xf numFmtId="1" fontId="0" fillId="5" borderId="4" xfId="0" applyNumberFormat="1" applyFont="1" applyFill="1" applyBorder="1" applyAlignment="1">
      <alignment horizontal="left"/>
    </xf>
    <xf numFmtId="164" fontId="0" fillId="5" borderId="4" xfId="0" applyNumberFormat="1" applyFill="1" applyBorder="1" applyAlignment="1">
      <alignment horizontal="right"/>
    </xf>
    <xf numFmtId="2" fontId="0" fillId="0" borderId="3" xfId="0" applyFont="1" applyBorder="1" applyAlignment="1">
      <alignment/>
    </xf>
    <xf numFmtId="49" fontId="0" fillId="0" borderId="3" xfId="0" applyNumberForma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2" fontId="2" fillId="0" borderId="9" xfId="0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2" fontId="4" fillId="0" borderId="9" xfId="0" applyFont="1" applyBorder="1" applyAlignment="1">
      <alignment horizontal="right"/>
    </xf>
    <xf numFmtId="2" fontId="0" fillId="2" borderId="3" xfId="0" applyFill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2" fontId="2" fillId="0" borderId="3" xfId="0" applyFont="1" applyBorder="1" applyAlignment="1">
      <alignment/>
    </xf>
    <xf numFmtId="2" fontId="2" fillId="0" borderId="3" xfId="0" applyFont="1" applyBorder="1" applyAlignment="1">
      <alignment horizontal="right"/>
    </xf>
    <xf numFmtId="2" fontId="2" fillId="0" borderId="9" xfId="0" applyFont="1" applyBorder="1" applyAlignment="1">
      <alignment horizontal="center"/>
    </xf>
    <xf numFmtId="2" fontId="2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2" fontId="0" fillId="0" borderId="11" xfId="0" applyBorder="1" applyAlignment="1">
      <alignment/>
    </xf>
    <xf numFmtId="1" fontId="2" fillId="0" borderId="9" xfId="0" applyNumberFormat="1" applyFont="1" applyBorder="1" applyAlignment="1">
      <alignment/>
    </xf>
    <xf numFmtId="2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2" fontId="2" fillId="0" borderId="1" xfId="0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2" fillId="0" borderId="3" xfId="0" applyNumberFormat="1" applyFont="1" applyBorder="1" applyAlignment="1">
      <alignment/>
    </xf>
    <xf numFmtId="2" fontId="0" fillId="0" borderId="3" xfId="0" applyFont="1" applyBorder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2" fontId="2" fillId="0" borderId="7" xfId="0" applyFont="1" applyBorder="1" applyAlignment="1">
      <alignment horizontal="center"/>
    </xf>
    <xf numFmtId="2" fontId="2" fillId="0" borderId="6" xfId="0" applyFont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2" fontId="0" fillId="0" borderId="4" xfId="0" applyBorder="1" applyAlignment="1">
      <alignment horizontal="right"/>
    </xf>
    <xf numFmtId="49" fontId="0" fillId="7" borderId="5" xfId="0" applyNumberFormat="1" applyFont="1" applyFill="1" applyBorder="1" applyAlignment="1">
      <alignment horizontal="right"/>
    </xf>
    <xf numFmtId="1" fontId="0" fillId="7" borderId="7" xfId="0" applyNumberFormat="1" applyFont="1" applyFill="1" applyBorder="1" applyAlignment="1">
      <alignment horizontal="right"/>
    </xf>
    <xf numFmtId="2" fontId="2" fillId="7" borderId="7" xfId="0" applyFont="1" applyFill="1" applyBorder="1" applyAlignment="1">
      <alignment horizontal="center"/>
    </xf>
    <xf numFmtId="2" fontId="0" fillId="7" borderId="6" xfId="0" applyFont="1" applyFill="1" applyBorder="1" applyAlignment="1">
      <alignment horizontal="left"/>
    </xf>
    <xf numFmtId="2" fontId="2" fillId="7" borderId="4" xfId="0" applyFont="1" applyFill="1" applyBorder="1" applyAlignment="1">
      <alignment/>
    </xf>
    <xf numFmtId="2" fontId="2" fillId="7" borderId="4" xfId="0" applyFont="1" applyFill="1" applyBorder="1" applyAlignment="1">
      <alignment horizontal="right"/>
    </xf>
    <xf numFmtId="164" fontId="2" fillId="7" borderId="4" xfId="0" applyNumberFormat="1" applyFont="1" applyFill="1" applyBorder="1" applyAlignment="1">
      <alignment horizontal="right"/>
    </xf>
    <xf numFmtId="1" fontId="2" fillId="7" borderId="4" xfId="0" applyNumberFormat="1" applyFont="1" applyFill="1" applyBorder="1" applyAlignment="1">
      <alignment horizontal="right"/>
    </xf>
    <xf numFmtId="2" fontId="0" fillId="7" borderId="4" xfId="0" applyFill="1" applyBorder="1" applyAlignment="1">
      <alignment horizontal="right"/>
    </xf>
    <xf numFmtId="2" fontId="0" fillId="0" borderId="13" xfId="0" applyBorder="1" applyAlignment="1">
      <alignment/>
    </xf>
    <xf numFmtId="167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2" fontId="0" fillId="0" borderId="13" xfId="0" applyBorder="1" applyAlignment="1">
      <alignment horizontal="right"/>
    </xf>
    <xf numFmtId="4" fontId="2" fillId="2" borderId="0" xfId="0" applyNumberFormat="1" applyFont="1" applyFill="1" applyBorder="1" applyAlignment="1">
      <alignment horizontal="center"/>
    </xf>
    <xf numFmtId="2" fontId="2" fillId="0" borderId="0" xfId="0" applyFont="1" applyFill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right"/>
    </xf>
    <xf numFmtId="2" fontId="0" fillId="0" borderId="14" xfId="0" applyFont="1" applyBorder="1" applyAlignment="1">
      <alignment horizontal="center"/>
    </xf>
    <xf numFmtId="2" fontId="2" fillId="0" borderId="14" xfId="0" applyFont="1" applyBorder="1" applyAlignment="1">
      <alignment horizontal="center"/>
    </xf>
    <xf numFmtId="4" fontId="2" fillId="2" borderId="14" xfId="0" applyNumberFormat="1" applyFont="1" applyFill="1" applyBorder="1" applyAlignment="1">
      <alignment horizontal="center"/>
    </xf>
    <xf numFmtId="2" fontId="0" fillId="0" borderId="0" xfId="0" applyFont="1" applyBorder="1" applyAlignment="1">
      <alignment horizontal="right"/>
    </xf>
    <xf numFmtId="2" fontId="2" fillId="0" borderId="0" xfId="0" applyFont="1" applyFill="1" applyBorder="1" applyAlignment="1">
      <alignment horizontal="left" wrapText="1"/>
    </xf>
    <xf numFmtId="164" fontId="0" fillId="8" borderId="3" xfId="0" applyNumberFormat="1" applyFill="1" applyBorder="1" applyAlignment="1">
      <alignment horizontal="right"/>
    </xf>
    <xf numFmtId="1" fontId="0" fillId="9" borderId="3" xfId="0" applyNumberFormat="1" applyFont="1" applyFill="1" applyBorder="1" applyAlignment="1">
      <alignment horizontal="left"/>
    </xf>
    <xf numFmtId="1" fontId="0" fillId="9" borderId="3" xfId="0" applyNumberFormat="1" applyFill="1" applyBorder="1" applyAlignment="1">
      <alignment horizontal="right"/>
    </xf>
    <xf numFmtId="167" fontId="0" fillId="9" borderId="3" xfId="0" applyNumberFormat="1" applyFont="1" applyFill="1" applyBorder="1" applyAlignment="1">
      <alignment horizontal="right"/>
    </xf>
    <xf numFmtId="164" fontId="0" fillId="9" borderId="3" xfId="0" applyNumberFormat="1" applyFill="1" applyBorder="1" applyAlignment="1">
      <alignment horizontal="right"/>
    </xf>
    <xf numFmtId="164" fontId="0" fillId="9" borderId="3" xfId="0" applyNumberFormat="1" applyFill="1" applyBorder="1" applyAlignment="1">
      <alignment horizontal="right"/>
    </xf>
    <xf numFmtId="164" fontId="0" fillId="9" borderId="3" xfId="0" applyNumberFormat="1" applyFont="1" applyFill="1" applyBorder="1" applyAlignment="1">
      <alignment horizontal="right"/>
    </xf>
    <xf numFmtId="1" fontId="0" fillId="9" borderId="3" xfId="0" applyNumberFormat="1" applyFill="1" applyBorder="1" applyAlignment="1">
      <alignment horizontal="right"/>
    </xf>
    <xf numFmtId="2" fontId="0" fillId="9" borderId="3" xfId="0" applyFont="1" applyFill="1" applyBorder="1" applyAlignment="1">
      <alignment horizontal="right"/>
    </xf>
    <xf numFmtId="164" fontId="0" fillId="10" borderId="3" xfId="0" applyNumberFormat="1" applyFill="1" applyBorder="1" applyAlignment="1">
      <alignment horizontal="right"/>
    </xf>
    <xf numFmtId="1" fontId="0" fillId="11" borderId="3" xfId="0" applyNumberFormat="1" applyFill="1" applyBorder="1" applyAlignment="1">
      <alignment horizontal="right"/>
    </xf>
    <xf numFmtId="1" fontId="0" fillId="11" borderId="3" xfId="0" applyNumberFormat="1" applyFont="1" applyFill="1" applyBorder="1" applyAlignment="1">
      <alignment horizontal="left"/>
    </xf>
    <xf numFmtId="164" fontId="0" fillId="12" borderId="3" xfId="0" applyNumberFormat="1" applyFill="1" applyBorder="1" applyAlignment="1">
      <alignment horizontal="right"/>
    </xf>
    <xf numFmtId="164" fontId="0" fillId="11" borderId="3" xfId="0" applyNumberFormat="1" applyFill="1" applyBorder="1" applyAlignment="1">
      <alignment horizontal="right"/>
    </xf>
    <xf numFmtId="164" fontId="0" fillId="11" borderId="3" xfId="0" applyNumberFormat="1" applyFill="1" applyBorder="1" applyAlignment="1">
      <alignment horizontal="right"/>
    </xf>
    <xf numFmtId="164" fontId="0" fillId="11" borderId="3" xfId="0" applyNumberFormat="1" applyFont="1" applyFill="1" applyBorder="1" applyAlignment="1">
      <alignment horizontal="right"/>
    </xf>
    <xf numFmtId="1" fontId="0" fillId="11" borderId="3" xfId="0" applyNumberFormat="1" applyFill="1" applyBorder="1" applyAlignment="1">
      <alignment horizontal="right"/>
    </xf>
    <xf numFmtId="2" fontId="0" fillId="11" borderId="3" xfId="0" applyFont="1" applyFill="1" applyBorder="1" applyAlignment="1">
      <alignment horizontal="right"/>
    </xf>
    <xf numFmtId="1" fontId="0" fillId="13" borderId="3" xfId="0" applyNumberFormat="1" applyFill="1" applyBorder="1" applyAlignment="1">
      <alignment/>
    </xf>
    <xf numFmtId="1" fontId="0" fillId="13" borderId="3" xfId="0" applyNumberFormat="1" applyFont="1" applyFill="1" applyBorder="1" applyAlignment="1">
      <alignment horizontal="left"/>
    </xf>
    <xf numFmtId="1" fontId="0" fillId="13" borderId="3" xfId="0" applyNumberFormat="1" applyFill="1" applyBorder="1" applyAlignment="1">
      <alignment horizontal="right"/>
    </xf>
    <xf numFmtId="164" fontId="0" fillId="14" borderId="3" xfId="0" applyNumberFormat="1" applyFill="1" applyBorder="1" applyAlignment="1">
      <alignment horizontal="right"/>
    </xf>
    <xf numFmtId="164" fontId="0" fillId="13" borderId="3" xfId="0" applyNumberFormat="1" applyFill="1" applyBorder="1" applyAlignment="1">
      <alignment horizontal="right"/>
    </xf>
    <xf numFmtId="164" fontId="0" fillId="13" borderId="3" xfId="0" applyNumberFormat="1" applyFill="1" applyBorder="1" applyAlignment="1">
      <alignment horizontal="right"/>
    </xf>
    <xf numFmtId="164" fontId="0" fillId="13" borderId="3" xfId="0" applyNumberFormat="1" applyFont="1" applyFill="1" applyBorder="1" applyAlignment="1">
      <alignment horizontal="right"/>
    </xf>
    <xf numFmtId="1" fontId="0" fillId="13" borderId="3" xfId="0" applyNumberFormat="1" applyFill="1" applyBorder="1" applyAlignment="1">
      <alignment horizontal="right"/>
    </xf>
    <xf numFmtId="2" fontId="0" fillId="13" borderId="3" xfId="0" applyFont="1" applyFill="1" applyBorder="1" applyAlignment="1">
      <alignment horizontal="right"/>
    </xf>
    <xf numFmtId="2" fontId="2" fillId="0" borderId="2" xfId="0" applyFont="1" applyBorder="1" applyAlignment="1">
      <alignment horizontal="right"/>
    </xf>
    <xf numFmtId="2" fontId="0" fillId="0" borderId="5" xfId="0" applyFont="1" applyBorder="1" applyAlignment="1">
      <alignment horizontal="right"/>
    </xf>
    <xf numFmtId="1" fontId="0" fillId="0" borderId="5" xfId="0" applyNumberFormat="1" applyBorder="1" applyAlignment="1">
      <alignment horizontal="right"/>
    </xf>
    <xf numFmtId="2" fontId="0" fillId="13" borderId="5" xfId="0" applyFont="1" applyFill="1" applyBorder="1" applyAlignment="1">
      <alignment horizontal="right"/>
    </xf>
    <xf numFmtId="2" fontId="0" fillId="3" borderId="5" xfId="0" applyFont="1" applyFill="1" applyBorder="1" applyAlignment="1">
      <alignment horizontal="right"/>
    </xf>
    <xf numFmtId="2" fontId="0" fillId="0" borderId="5" xfId="0" applyFont="1" applyFill="1" applyBorder="1" applyAlignment="1">
      <alignment horizontal="right"/>
    </xf>
    <xf numFmtId="0" fontId="0" fillId="0" borderId="5" xfId="0" applyNumberFormat="1" applyBorder="1" applyAlignment="1">
      <alignment horizontal="right"/>
    </xf>
    <xf numFmtId="2" fontId="0" fillId="11" borderId="5" xfId="0" applyFont="1" applyFill="1" applyBorder="1" applyAlignment="1">
      <alignment horizontal="right"/>
    </xf>
    <xf numFmtId="2" fontId="0" fillId="0" borderId="11" xfId="0" applyBorder="1" applyAlignment="1">
      <alignment horizontal="right"/>
    </xf>
    <xf numFmtId="2" fontId="0" fillId="7" borderId="11" xfId="0" applyFill="1" applyBorder="1" applyAlignment="1">
      <alignment horizontal="right"/>
    </xf>
    <xf numFmtId="2" fontId="0" fillId="0" borderId="15" xfId="0" applyBorder="1" applyAlignment="1">
      <alignment horizontal="right"/>
    </xf>
    <xf numFmtId="2" fontId="0" fillId="0" borderId="16" xfId="0" applyBorder="1" applyAlignment="1">
      <alignment horizontal="right"/>
    </xf>
    <xf numFmtId="2" fontId="0" fillId="0" borderId="16" xfId="0" applyFill="1" applyBorder="1" applyAlignment="1">
      <alignment horizontal="right"/>
    </xf>
    <xf numFmtId="2" fontId="0" fillId="0" borderId="16" xfId="0" applyFont="1" applyBorder="1" applyAlignment="1">
      <alignment horizontal="left"/>
    </xf>
    <xf numFmtId="2" fontId="0" fillId="0" borderId="16" xfId="0" applyFill="1" applyBorder="1" applyAlignment="1">
      <alignment horizontal="left"/>
    </xf>
    <xf numFmtId="2" fontId="0" fillId="0" borderId="16" xfId="0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2" fontId="0" fillId="0" borderId="16" xfId="0" applyBorder="1" applyAlignment="1">
      <alignment horizontal="right" wrapText="1"/>
    </xf>
    <xf numFmtId="1" fontId="0" fillId="15" borderId="3" xfId="0" applyNumberFormat="1" applyFill="1" applyBorder="1" applyAlignment="1">
      <alignment/>
    </xf>
    <xf numFmtId="1" fontId="0" fillId="15" borderId="3" xfId="0" applyNumberFormat="1" applyFont="1" applyFill="1" applyBorder="1" applyAlignment="1">
      <alignment horizontal="left"/>
    </xf>
    <xf numFmtId="1" fontId="0" fillId="15" borderId="3" xfId="0" applyNumberFormat="1" applyFill="1" applyBorder="1" applyAlignment="1">
      <alignment horizontal="right"/>
    </xf>
    <xf numFmtId="164" fontId="0" fillId="16" borderId="3" xfId="0" applyNumberFormat="1" applyFill="1" applyBorder="1" applyAlignment="1">
      <alignment horizontal="right"/>
    </xf>
    <xf numFmtId="164" fontId="0" fillId="15" borderId="3" xfId="0" applyNumberFormat="1" applyFill="1" applyBorder="1" applyAlignment="1">
      <alignment horizontal="right"/>
    </xf>
    <xf numFmtId="164" fontId="0" fillId="15" borderId="3" xfId="0" applyNumberFormat="1" applyFill="1" applyBorder="1" applyAlignment="1">
      <alignment horizontal="right"/>
    </xf>
    <xf numFmtId="164" fontId="0" fillId="15" borderId="3" xfId="0" applyNumberFormat="1" applyFont="1" applyFill="1" applyBorder="1" applyAlignment="1">
      <alignment horizontal="right"/>
    </xf>
    <xf numFmtId="1" fontId="0" fillId="15" borderId="3" xfId="0" applyNumberFormat="1" applyFill="1" applyBorder="1" applyAlignment="1">
      <alignment horizontal="right"/>
    </xf>
    <xf numFmtId="2" fontId="0" fillId="15" borderId="3" xfId="0" applyFont="1" applyFill="1" applyBorder="1" applyAlignment="1">
      <alignment horizontal="right"/>
    </xf>
    <xf numFmtId="2" fontId="0" fillId="15" borderId="5" xfId="0" applyFont="1" applyFill="1" applyBorder="1" applyAlignment="1">
      <alignment horizontal="right"/>
    </xf>
    <xf numFmtId="2" fontId="0" fillId="15" borderId="16" xfId="0" applyFill="1" applyBorder="1" applyAlignment="1">
      <alignment horizontal="right"/>
    </xf>
    <xf numFmtId="1" fontId="0" fillId="15" borderId="3" xfId="0" applyNumberFormat="1" applyFill="1" applyBorder="1" applyAlignment="1">
      <alignment horizontal="left"/>
    </xf>
    <xf numFmtId="2" fontId="0" fillId="0" borderId="3" xfId="0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49" fontId="0" fillId="3" borderId="5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9" borderId="5" xfId="0" applyNumberFormat="1" applyFont="1" applyFill="1" applyBorder="1" applyAlignment="1">
      <alignment horizontal="right"/>
    </xf>
    <xf numFmtId="49" fontId="0" fillId="5" borderId="5" xfId="0" applyNumberFormat="1" applyFill="1" applyBorder="1" applyAlignment="1">
      <alignment horizontal="right"/>
    </xf>
    <xf numFmtId="49" fontId="0" fillId="6" borderId="5" xfId="0" applyNumberFormat="1" applyFont="1" applyFill="1" applyBorder="1" applyAlignment="1">
      <alignment horizontal="right"/>
    </xf>
    <xf numFmtId="49" fontId="0" fillId="0" borderId="9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16" xfId="0" applyNumberFormat="1" applyBorder="1" applyAlignment="1">
      <alignment horizontal="right" wrapText="1"/>
    </xf>
    <xf numFmtId="1" fontId="0" fillId="17" borderId="3" xfId="0" applyNumberFormat="1" applyFont="1" applyFill="1" applyBorder="1" applyAlignment="1">
      <alignment horizontal="left"/>
    </xf>
    <xf numFmtId="164" fontId="0" fillId="17" borderId="3" xfId="0" applyNumberFormat="1" applyFill="1" applyBorder="1" applyAlignment="1">
      <alignment horizontal="right"/>
    </xf>
    <xf numFmtId="164" fontId="0" fillId="17" borderId="3" xfId="0" applyNumberFormat="1" applyFont="1" applyFill="1" applyBorder="1" applyAlignment="1">
      <alignment horizontal="right"/>
    </xf>
    <xf numFmtId="1" fontId="0" fillId="17" borderId="3" xfId="0" applyNumberFormat="1" applyFill="1" applyBorder="1" applyAlignment="1">
      <alignment horizontal="right"/>
    </xf>
    <xf numFmtId="49" fontId="0" fillId="17" borderId="5" xfId="0" applyNumberFormat="1" applyFont="1" applyFill="1" applyBorder="1" applyAlignment="1">
      <alignment horizontal="right"/>
    </xf>
    <xf numFmtId="2" fontId="0" fillId="18" borderId="16" xfId="0" applyFill="1" applyBorder="1" applyAlignment="1">
      <alignment horizontal="right"/>
    </xf>
    <xf numFmtId="1" fontId="0" fillId="17" borderId="3" xfId="0" applyNumberFormat="1" applyFill="1" applyBorder="1" applyAlignment="1">
      <alignment/>
    </xf>
    <xf numFmtId="164" fontId="0" fillId="17" borderId="3" xfId="0" applyNumberFormat="1" applyFill="1" applyBorder="1" applyAlignment="1">
      <alignment horizontal="right"/>
    </xf>
    <xf numFmtId="2" fontId="0" fillId="0" borderId="16" xfId="0" applyBorder="1" applyAlignment="1">
      <alignment horizontal="left"/>
    </xf>
    <xf numFmtId="49" fontId="0" fillId="0" borderId="5" xfId="0" applyNumberFormat="1" applyFill="1" applyBorder="1" applyAlignment="1">
      <alignment horizontal="right"/>
    </xf>
    <xf numFmtId="1" fontId="0" fillId="17" borderId="3" xfId="0" applyNumberFormat="1" applyFill="1" applyBorder="1" applyAlignment="1">
      <alignment horizontal="right"/>
    </xf>
    <xf numFmtId="2" fontId="0" fillId="17" borderId="3" xfId="0" applyFill="1" applyBorder="1" applyAlignment="1">
      <alignment horizontal="right"/>
    </xf>
    <xf numFmtId="49" fontId="0" fillId="17" borderId="5" xfId="0" applyNumberFormat="1" applyFill="1" applyBorder="1" applyAlignment="1">
      <alignment horizontal="right"/>
    </xf>
    <xf numFmtId="49" fontId="0" fillId="19" borderId="5" xfId="0" applyNumberFormat="1" applyFill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2" fontId="0" fillId="0" borderId="18" xfId="0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2" fontId="0" fillId="0" borderId="19" xfId="0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0" fillId="5" borderId="16" xfId="0" applyNumberFormat="1" applyFill="1" applyBorder="1" applyAlignment="1">
      <alignment horizontal="right"/>
    </xf>
    <xf numFmtId="2" fontId="0" fillId="20" borderId="16" xfId="0" applyFill="1" applyBorder="1" applyAlignment="1">
      <alignment horizontal="right"/>
    </xf>
    <xf numFmtId="2" fontId="0" fillId="21" borderId="0" xfId="0" applyFill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2" fontId="0" fillId="0" borderId="20" xfId="0" applyBorder="1" applyAlignment="1">
      <alignment horizontal="right"/>
    </xf>
    <xf numFmtId="49" fontId="0" fillId="0" borderId="17" xfId="0" applyNumberFormat="1" applyFont="1" applyFill="1" applyBorder="1" applyAlignment="1">
      <alignment horizontal="right"/>
    </xf>
    <xf numFmtId="2" fontId="2" fillId="0" borderId="0" xfId="0" applyFont="1" applyBorder="1" applyAlignment="1">
      <alignment horizontal="center"/>
    </xf>
    <xf numFmtId="1" fontId="0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2" fontId="0" fillId="0" borderId="3" xfId="0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right"/>
    </xf>
    <xf numFmtId="1" fontId="0" fillId="0" borderId="3" xfId="0" applyNumberFormat="1" applyFill="1" applyBorder="1" applyAlignment="1">
      <alignment horizontal="left"/>
    </xf>
    <xf numFmtId="164" fontId="0" fillId="19" borderId="3" xfId="0" applyNumberFormat="1" applyFill="1" applyBorder="1" applyAlignment="1">
      <alignment horizontal="right"/>
    </xf>
    <xf numFmtId="164" fontId="0" fillId="19" borderId="3" xfId="0" applyNumberFormat="1" applyFont="1" applyFill="1" applyBorder="1" applyAlignment="1">
      <alignment horizontal="right"/>
    </xf>
    <xf numFmtId="164" fontId="4" fillId="19" borderId="3" xfId="0" applyNumberFormat="1" applyFont="1" applyFill="1" applyBorder="1" applyAlignment="1">
      <alignment horizontal="right"/>
    </xf>
    <xf numFmtId="164" fontId="0" fillId="19" borderId="3" xfId="0" applyNumberFormat="1" applyFill="1" applyBorder="1" applyAlignment="1">
      <alignment horizontal="right"/>
    </xf>
    <xf numFmtId="1" fontId="0" fillId="19" borderId="3" xfId="0" applyNumberFormat="1" applyFill="1" applyBorder="1" applyAlignment="1">
      <alignment horizontal="right"/>
    </xf>
    <xf numFmtId="2" fontId="0" fillId="19" borderId="3" xfId="0" applyFill="1" applyBorder="1" applyAlignment="1">
      <alignment horizontal="left"/>
    </xf>
    <xf numFmtId="2" fontId="0" fillId="19" borderId="3" xfId="0" applyFont="1" applyFill="1" applyBorder="1" applyAlignment="1">
      <alignment horizontal="right"/>
    </xf>
    <xf numFmtId="1" fontId="0" fillId="19" borderId="3" xfId="0" applyNumberFormat="1" applyFont="1" applyFill="1" applyBorder="1" applyAlignment="1">
      <alignment horizontal="left"/>
    </xf>
    <xf numFmtId="49" fontId="0" fillId="19" borderId="5" xfId="0" applyNumberFormat="1" applyFont="1" applyFill="1" applyBorder="1" applyAlignment="1">
      <alignment horizontal="right"/>
    </xf>
    <xf numFmtId="49" fontId="0" fillId="19" borderId="5" xfId="0" applyNumberFormat="1" applyFont="1" applyFill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6" xfId="0" applyNumberForma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0" fontId="2" fillId="15" borderId="16" xfId="0" applyNumberFormat="1" applyFont="1" applyFill="1" applyBorder="1" applyAlignment="1">
      <alignment horizontal="center"/>
    </xf>
    <xf numFmtId="4" fontId="0" fillId="15" borderId="16" xfId="0" applyNumberFormat="1" applyFill="1" applyBorder="1" applyAlignment="1">
      <alignment horizontal="right"/>
    </xf>
    <xf numFmtId="0" fontId="0" fillId="15" borderId="16" xfId="0" applyNumberFormat="1" applyFont="1" applyFill="1" applyBorder="1" applyAlignment="1">
      <alignment horizontal="center"/>
    </xf>
    <xf numFmtId="4" fontId="2" fillId="0" borderId="3" xfId="0" applyNumberFormat="1" applyFont="1" applyBorder="1" applyAlignment="1">
      <alignment/>
    </xf>
    <xf numFmtId="2" fontId="0" fillId="0" borderId="5" xfId="0" applyFont="1" applyBorder="1" applyAlignment="1">
      <alignment/>
    </xf>
    <xf numFmtId="2" fontId="0" fillId="0" borderId="12" xfId="0" applyFont="1" applyBorder="1" applyAlignment="1">
      <alignment/>
    </xf>
    <xf numFmtId="2" fontId="0" fillId="2" borderId="12" xfId="0" applyFill="1" applyBorder="1" applyAlignment="1">
      <alignment horizontal="right"/>
    </xf>
    <xf numFmtId="2" fontId="0" fillId="0" borderId="12" xfId="0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2" fontId="0" fillId="0" borderId="16" xfId="0" applyBorder="1" applyAlignment="1">
      <alignment/>
    </xf>
    <xf numFmtId="2" fontId="4" fillId="0" borderId="16" xfId="0" applyFon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2" fontId="0" fillId="8" borderId="1" xfId="0" applyFill="1" applyAlignment="1">
      <alignment horizontal="right"/>
    </xf>
    <xf numFmtId="2" fontId="0" fillId="0" borderId="21" xfId="0" applyBorder="1" applyAlignment="1">
      <alignment horizontal="right"/>
    </xf>
    <xf numFmtId="2" fontId="0" fillId="20" borderId="19" xfId="0" applyFill="1" applyBorder="1" applyAlignment="1">
      <alignment horizontal="right"/>
    </xf>
    <xf numFmtId="0" fontId="0" fillId="0" borderId="0" xfId="0" applyNumberFormat="1" applyBorder="1" applyAlignment="1">
      <alignment horizontal="center"/>
    </xf>
    <xf numFmtId="4" fontId="2" fillId="8" borderId="16" xfId="0" applyNumberFormat="1" applyFont="1" applyFill="1" applyBorder="1" applyAlignment="1">
      <alignment horizontal="right"/>
    </xf>
    <xf numFmtId="4" fontId="2" fillId="8" borderId="18" xfId="0" applyNumberFormat="1" applyFont="1" applyFill="1" applyBorder="1" applyAlignment="1">
      <alignment horizontal="right"/>
    </xf>
    <xf numFmtId="2" fontId="2" fillId="0" borderId="16" xfId="0" applyFont="1" applyBorder="1" applyAlignment="1">
      <alignment horizontal="right"/>
    </xf>
    <xf numFmtId="2" fontId="2" fillId="0" borderId="16" xfId="0" applyFont="1" applyFill="1" applyBorder="1" applyAlignment="1">
      <alignment horizontal="right"/>
    </xf>
    <xf numFmtId="4" fontId="2" fillId="8" borderId="16" xfId="0" applyNumberFormat="1" applyFont="1" applyFill="1" applyBorder="1" applyAlignment="1">
      <alignment horizontal="right" wrapText="1"/>
    </xf>
    <xf numFmtId="0" fontId="0" fillId="20" borderId="16" xfId="0" applyNumberFormat="1" applyFill="1" applyBorder="1" applyAlignment="1">
      <alignment horizontal="center"/>
    </xf>
    <xf numFmtId="4" fontId="0" fillId="20" borderId="16" xfId="0" applyNumberFormat="1" applyFill="1" applyBorder="1" applyAlignment="1">
      <alignment horizontal="right"/>
    </xf>
    <xf numFmtId="0" fontId="0" fillId="20" borderId="0" xfId="0" applyNumberFormat="1" applyFill="1" applyBorder="1" applyAlignment="1">
      <alignment horizontal="center"/>
    </xf>
    <xf numFmtId="2" fontId="2" fillId="0" borderId="16" xfId="0" applyFont="1" applyBorder="1" applyAlignment="1">
      <alignment horizontal="left"/>
    </xf>
    <xf numFmtId="2" fontId="2" fillId="0" borderId="16" xfId="0" applyFont="1" applyFill="1" applyBorder="1" applyAlignment="1">
      <alignment horizontal="left"/>
    </xf>
    <xf numFmtId="0" fontId="0" fillId="20" borderId="16" xfId="0" applyNumberFormat="1" applyFont="1" applyFill="1" applyBorder="1" applyAlignment="1">
      <alignment horizontal="center"/>
    </xf>
    <xf numFmtId="4" fontId="2" fillId="20" borderId="16" xfId="0" applyNumberFormat="1" applyFont="1" applyFill="1" applyBorder="1" applyAlignment="1">
      <alignment horizontal="right"/>
    </xf>
    <xf numFmtId="0" fontId="2" fillId="0" borderId="16" xfId="0" applyNumberFormat="1" applyFont="1" applyBorder="1" applyAlignment="1">
      <alignment horizontal="left"/>
    </xf>
    <xf numFmtId="2" fontId="0" fillId="0" borderId="3" xfId="0" applyFill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2" fontId="0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13" borderId="4" xfId="0" applyNumberFormat="1" applyFill="1" applyBorder="1" applyAlignment="1">
      <alignment horizontal="right"/>
    </xf>
    <xf numFmtId="1" fontId="0" fillId="13" borderId="4" xfId="0" applyNumberFormat="1" applyFill="1" applyBorder="1" applyAlignment="1">
      <alignment horizontal="left"/>
    </xf>
    <xf numFmtId="1" fontId="0" fillId="13" borderId="4" xfId="0" applyNumberFormat="1" applyFill="1" applyBorder="1" applyAlignment="1">
      <alignment horizontal="right"/>
    </xf>
    <xf numFmtId="164" fontId="0" fillId="13" borderId="4" xfId="0" applyNumberFormat="1" applyFill="1" applyBorder="1" applyAlignment="1">
      <alignment horizontal="right"/>
    </xf>
    <xf numFmtId="2" fontId="0" fillId="13" borderId="3" xfId="0" applyFill="1" applyBorder="1" applyAlignment="1">
      <alignment horizontal="right"/>
    </xf>
    <xf numFmtId="167" fontId="0" fillId="13" borderId="3" xfId="0" applyNumberFormat="1" applyFont="1" applyFill="1" applyBorder="1" applyAlignment="1">
      <alignment horizontal="right"/>
    </xf>
    <xf numFmtId="2" fontId="0" fillId="13" borderId="16" xfId="0" applyFill="1" applyBorder="1" applyAlignment="1">
      <alignment horizontal="right"/>
    </xf>
    <xf numFmtId="0" fontId="0" fillId="13" borderId="16" xfId="0" applyNumberFormat="1" applyFont="1" applyFill="1" applyBorder="1" applyAlignment="1">
      <alignment horizontal="center"/>
    </xf>
    <xf numFmtId="1" fontId="0" fillId="22" borderId="3" xfId="0" applyNumberFormat="1" applyFont="1" applyFill="1" applyBorder="1" applyAlignment="1">
      <alignment horizontal="left"/>
    </xf>
    <xf numFmtId="1" fontId="0" fillId="22" borderId="3" xfId="0" applyNumberFormat="1" applyFill="1" applyBorder="1" applyAlignment="1">
      <alignment horizontal="left"/>
    </xf>
    <xf numFmtId="1" fontId="0" fillId="22" borderId="3" xfId="0" applyNumberFormat="1" applyFont="1" applyFill="1" applyBorder="1" applyAlignment="1">
      <alignment horizontal="right"/>
    </xf>
    <xf numFmtId="164" fontId="0" fillId="22" borderId="3" xfId="0" applyNumberFormat="1" applyFill="1" applyBorder="1" applyAlignment="1">
      <alignment horizontal="right"/>
    </xf>
    <xf numFmtId="164" fontId="0" fillId="22" borderId="3" xfId="0" applyNumberFormat="1" applyFill="1" applyBorder="1" applyAlignment="1">
      <alignment horizontal="right"/>
    </xf>
    <xf numFmtId="164" fontId="0" fillId="22" borderId="3" xfId="0" applyNumberFormat="1" applyFont="1" applyFill="1" applyBorder="1" applyAlignment="1">
      <alignment horizontal="right"/>
    </xf>
    <xf numFmtId="1" fontId="0" fillId="22" borderId="3" xfId="0" applyNumberFormat="1" applyFill="1" applyBorder="1" applyAlignment="1">
      <alignment horizontal="right"/>
    </xf>
    <xf numFmtId="2" fontId="0" fillId="22" borderId="3" xfId="0" applyFont="1" applyFill="1" applyBorder="1" applyAlignment="1">
      <alignment horizontal="right"/>
    </xf>
    <xf numFmtId="49" fontId="0" fillId="13" borderId="5" xfId="0" applyNumberFormat="1" applyFont="1" applyFill="1" applyBorder="1" applyAlignment="1">
      <alignment horizontal="right"/>
    </xf>
    <xf numFmtId="4" fontId="0" fillId="13" borderId="16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1" fontId="2" fillId="13" borderId="3" xfId="0" applyNumberFormat="1" applyFont="1" applyFill="1" applyBorder="1" applyAlignment="1">
      <alignment/>
    </xf>
    <xf numFmtId="49" fontId="0" fillId="0" borderId="3" xfId="0" applyNumberFormat="1" applyBorder="1" applyAlignment="1">
      <alignment horizontal="right"/>
    </xf>
    <xf numFmtId="1" fontId="0" fillId="20" borderId="11" xfId="0" applyNumberFormat="1" applyFill="1" applyBorder="1" applyAlignment="1">
      <alignment horizontal="right"/>
    </xf>
    <xf numFmtId="1" fontId="2" fillId="20" borderId="3" xfId="0" applyNumberFormat="1" applyFont="1" applyFill="1" applyBorder="1" applyAlignment="1">
      <alignment/>
    </xf>
    <xf numFmtId="2" fontId="0" fillId="20" borderId="3" xfId="0" applyFont="1" applyFill="1" applyBorder="1" applyAlignment="1">
      <alignment/>
    </xf>
    <xf numFmtId="2" fontId="2" fillId="20" borderId="4" xfId="0" applyFont="1" applyFill="1" applyBorder="1" applyAlignment="1">
      <alignment/>
    </xf>
    <xf numFmtId="2" fontId="2" fillId="20" borderId="4" xfId="0" applyFont="1" applyFill="1" applyBorder="1" applyAlignment="1">
      <alignment horizontal="right"/>
    </xf>
    <xf numFmtId="164" fontId="0" fillId="20" borderId="4" xfId="0" applyNumberFormat="1" applyFont="1" applyFill="1" applyBorder="1" applyAlignment="1">
      <alignment horizontal="right"/>
    </xf>
    <xf numFmtId="164" fontId="0" fillId="20" borderId="1" xfId="0" applyNumberFormat="1" applyFont="1" applyFill="1" applyBorder="1" applyAlignment="1">
      <alignment horizontal="right"/>
    </xf>
    <xf numFmtId="2" fontId="0" fillId="20" borderId="3" xfId="0" applyFont="1" applyFill="1" applyBorder="1" applyAlignment="1">
      <alignment horizontal="right"/>
    </xf>
    <xf numFmtId="49" fontId="0" fillId="20" borderId="5" xfId="0" applyNumberFormat="1" applyFont="1" applyFill="1" applyBorder="1" applyAlignment="1">
      <alignment horizontal="right"/>
    </xf>
    <xf numFmtId="2" fontId="2" fillId="0" borderId="0" xfId="0" applyFont="1" applyBorder="1" applyAlignment="1">
      <alignment horizontal="left"/>
    </xf>
    <xf numFmtId="2" fontId="0" fillId="20" borderId="3" xfId="0" applyFont="1" applyFill="1" applyBorder="1" applyAlignment="1">
      <alignment wrapText="1"/>
    </xf>
    <xf numFmtId="1" fontId="0" fillId="20" borderId="3" xfId="0" applyNumberFormat="1" applyFont="1" applyFill="1" applyBorder="1" applyAlignment="1">
      <alignment/>
    </xf>
    <xf numFmtId="1" fontId="2" fillId="6" borderId="3" xfId="0" applyNumberFormat="1" applyFont="1" applyFill="1" applyBorder="1" applyAlignment="1">
      <alignment horizontal="right"/>
    </xf>
    <xf numFmtId="1" fontId="2" fillId="5" borderId="3" xfId="0" applyNumberFormat="1" applyFont="1" applyFill="1" applyBorder="1" applyAlignment="1">
      <alignment/>
    </xf>
    <xf numFmtId="1" fontId="2" fillId="5" borderId="3" xfId="0" applyNumberFormat="1" applyFont="1" applyFill="1" applyBorder="1" applyAlignment="1">
      <alignment horizontal="right"/>
    </xf>
    <xf numFmtId="1" fontId="2" fillId="5" borderId="4" xfId="0" applyNumberFormat="1" applyFont="1" applyFill="1" applyBorder="1" applyAlignment="1">
      <alignment horizontal="right"/>
    </xf>
    <xf numFmtId="1" fontId="2" fillId="5" borderId="1" xfId="0" applyNumberFormat="1" applyFont="1" applyFill="1" applyAlignment="1">
      <alignment horizontal="right"/>
    </xf>
    <xf numFmtId="1" fontId="2" fillId="19" borderId="3" xfId="0" applyNumberFormat="1" applyFont="1" applyFill="1" applyBorder="1" applyAlignment="1">
      <alignment/>
    </xf>
    <xf numFmtId="1" fontId="2" fillId="22" borderId="3" xfId="0" applyNumberFormat="1" applyFont="1" applyFill="1" applyBorder="1" applyAlignment="1">
      <alignment/>
    </xf>
    <xf numFmtId="1" fontId="2" fillId="4" borderId="3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 horizontal="right"/>
    </xf>
    <xf numFmtId="1" fontId="2" fillId="9" borderId="3" xfId="0" applyNumberFormat="1" applyFont="1" applyFill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2" fillId="13" borderId="3" xfId="0" applyNumberFormat="1" applyFont="1" applyFill="1" applyBorder="1" applyAlignment="1">
      <alignment horizontal="right"/>
    </xf>
    <xf numFmtId="164" fontId="0" fillId="20" borderId="17" xfId="0" applyNumberFormat="1" applyFill="1" applyBorder="1" applyAlignment="1">
      <alignment horizontal="right"/>
    </xf>
    <xf numFmtId="2" fontId="0" fillId="20" borderId="6" xfId="0" applyFont="1" applyFill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2" fillId="20" borderId="16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2" fontId="0" fillId="0" borderId="3" xfId="0" applyBorder="1" applyAlignment="1">
      <alignment/>
    </xf>
    <xf numFmtId="2" fontId="4" fillId="0" borderId="3" xfId="0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49" fontId="0" fillId="13" borderId="17" xfId="0" applyNumberFormat="1" applyFill="1" applyBorder="1" applyAlignment="1">
      <alignment horizontal="right"/>
    </xf>
    <xf numFmtId="49" fontId="0" fillId="0" borderId="5" xfId="0" applyNumberFormat="1" applyFill="1" applyBorder="1" applyAlignment="1">
      <alignment horizontal="right"/>
    </xf>
    <xf numFmtId="2" fontId="0" fillId="0" borderId="19" xfId="0" applyFill="1" applyBorder="1" applyAlignment="1">
      <alignment horizontal="right"/>
    </xf>
    <xf numFmtId="2" fontId="0" fillId="0" borderId="16" xfId="0" applyFill="1" applyBorder="1" applyAlignment="1">
      <alignment horizontal="center"/>
    </xf>
    <xf numFmtId="2" fontId="0" fillId="0" borderId="19" xfId="0" applyBorder="1" applyAlignment="1">
      <alignment horizontal="center"/>
    </xf>
    <xf numFmtId="2" fontId="0" fillId="20" borderId="16" xfId="0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/>
    </xf>
    <xf numFmtId="1" fontId="8" fillId="0" borderId="3" xfId="0" applyNumberFormat="1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left"/>
    </xf>
    <xf numFmtId="167" fontId="8" fillId="0" borderId="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2" fontId="8" fillId="0" borderId="3" xfId="0" applyFont="1" applyBorder="1" applyAlignment="1">
      <alignment horizontal="right"/>
    </xf>
    <xf numFmtId="49" fontId="8" fillId="0" borderId="5" xfId="0" applyNumberFormat="1" applyFont="1" applyBorder="1" applyAlignment="1">
      <alignment horizontal="right"/>
    </xf>
    <xf numFmtId="2" fontId="8" fillId="0" borderId="16" xfId="0" applyFont="1" applyBorder="1" applyAlignment="1">
      <alignment horizontal="right"/>
    </xf>
    <xf numFmtId="0" fontId="8" fillId="0" borderId="16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right"/>
    </xf>
    <xf numFmtId="2" fontId="8" fillId="0" borderId="16" xfId="0" applyFont="1" applyBorder="1" applyAlignment="1">
      <alignment horizontal="right" wrapText="1"/>
    </xf>
    <xf numFmtId="2" fontId="8" fillId="0" borderId="5" xfId="0" applyFont="1" applyBorder="1" applyAlignment="1">
      <alignment horizontal="right"/>
    </xf>
    <xf numFmtId="49" fontId="8" fillId="0" borderId="16" xfId="0" applyNumberFormat="1" applyFont="1" applyBorder="1" applyAlignment="1">
      <alignment horizontal="right"/>
    </xf>
    <xf numFmtId="49" fontId="0" fillId="0" borderId="5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2" fontId="0" fillId="0" borderId="4" xfId="0" applyFont="1" applyBorder="1" applyAlignment="1">
      <alignment horizontal="right"/>
    </xf>
    <xf numFmtId="0" fontId="0" fillId="0" borderId="18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2" fontId="0" fillId="0" borderId="22" xfId="0" applyBorder="1" applyAlignment="1">
      <alignment horizontal="right"/>
    </xf>
    <xf numFmtId="2" fontId="0" fillId="23" borderId="16" xfId="0" applyFill="1" applyBorder="1" applyAlignment="1">
      <alignment horizontal="right"/>
    </xf>
    <xf numFmtId="2" fontId="2" fillId="24" borderId="16" xfId="0" applyFont="1" applyFill="1" applyBorder="1" applyAlignment="1">
      <alignment/>
    </xf>
    <xf numFmtId="167" fontId="2" fillId="24" borderId="16" xfId="0" applyNumberFormat="1" applyFont="1" applyFill="1" applyBorder="1" applyAlignment="1">
      <alignment horizontal="right"/>
    </xf>
    <xf numFmtId="167" fontId="2" fillId="5" borderId="16" xfId="0" applyNumberFormat="1" applyFont="1" applyFill="1" applyBorder="1" applyAlignment="1">
      <alignment horizontal="right"/>
    </xf>
    <xf numFmtId="164" fontId="2" fillId="5" borderId="16" xfId="0" applyNumberFormat="1" applyFont="1" applyFill="1" applyBorder="1" applyAlignment="1">
      <alignment horizontal="right"/>
    </xf>
    <xf numFmtId="1" fontId="2" fillId="5" borderId="16" xfId="0" applyNumberFormat="1" applyFont="1" applyFill="1" applyBorder="1" applyAlignment="1">
      <alignment horizontal="right"/>
    </xf>
    <xf numFmtId="2" fontId="0" fillId="5" borderId="16" xfId="0" applyFill="1" applyBorder="1" applyAlignment="1">
      <alignment horizontal="right"/>
    </xf>
    <xf numFmtId="1" fontId="2" fillId="0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 horizontal="left"/>
    </xf>
    <xf numFmtId="1" fontId="0" fillId="0" borderId="12" xfId="0" applyNumberFormat="1" applyFill="1" applyBorder="1" applyAlignment="1">
      <alignment horizontal="right"/>
    </xf>
    <xf numFmtId="167" fontId="0" fillId="0" borderId="12" xfId="0" applyNumberFormat="1" applyFont="1" applyFill="1" applyBorder="1" applyAlignment="1">
      <alignment horizontal="right"/>
    </xf>
    <xf numFmtId="164" fontId="0" fillId="2" borderId="12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0" fontId="0" fillId="0" borderId="19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1" fontId="0" fillId="0" borderId="16" xfId="0" applyNumberForma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left"/>
    </xf>
    <xf numFmtId="1" fontId="0" fillId="0" borderId="16" xfId="0" applyNumberFormat="1" applyFill="1" applyBorder="1" applyAlignment="1">
      <alignment horizontal="right"/>
    </xf>
    <xf numFmtId="167" fontId="0" fillId="0" borderId="16" xfId="0" applyNumberFormat="1" applyFont="1" applyFill="1" applyBorder="1" applyAlignment="1">
      <alignment horizontal="right"/>
    </xf>
    <xf numFmtId="164" fontId="0" fillId="2" borderId="16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2" fontId="0" fillId="0" borderId="16" xfId="0" applyFont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" fontId="2" fillId="18" borderId="16" xfId="0" applyNumberFormat="1" applyFont="1" applyFill="1" applyBorder="1" applyAlignment="1">
      <alignment/>
    </xf>
    <xf numFmtId="1" fontId="0" fillId="18" borderId="16" xfId="0" applyNumberFormat="1" applyFont="1" applyFill="1" applyBorder="1" applyAlignment="1">
      <alignment horizontal="left"/>
    </xf>
    <xf numFmtId="1" fontId="0" fillId="18" borderId="16" xfId="0" applyNumberFormat="1" applyFill="1" applyBorder="1" applyAlignment="1">
      <alignment horizontal="right"/>
    </xf>
    <xf numFmtId="2" fontId="2" fillId="25" borderId="0" xfId="0" applyFont="1" applyFill="1" applyBorder="1" applyAlignment="1">
      <alignment/>
    </xf>
    <xf numFmtId="2" fontId="2" fillId="25" borderId="0" xfId="0" applyFont="1" applyFill="1" applyBorder="1" applyAlignment="1">
      <alignment horizontal="right"/>
    </xf>
    <xf numFmtId="2" fontId="2" fillId="23" borderId="0" xfId="0" applyFont="1" applyFill="1" applyBorder="1" applyAlignment="1">
      <alignment horizontal="right"/>
    </xf>
    <xf numFmtId="2" fontId="2" fillId="0" borderId="0" xfId="0" applyFont="1" applyFill="1" applyBorder="1" applyAlignment="1">
      <alignment horizontal="right"/>
    </xf>
    <xf numFmtId="1" fontId="0" fillId="0" borderId="23" xfId="0" applyNumberFormat="1" applyFill="1" applyBorder="1" applyAlignment="1">
      <alignment/>
    </xf>
    <xf numFmtId="1" fontId="0" fillId="18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6" xfId="0" applyNumberFormat="1" applyFill="1" applyBorder="1" applyAlignment="1">
      <alignment/>
    </xf>
    <xf numFmtId="1" fontId="0" fillId="0" borderId="6" xfId="0" applyNumberFormat="1" applyFont="1" applyFill="1" applyBorder="1" applyAlignment="1">
      <alignment horizontal="right"/>
    </xf>
    <xf numFmtId="1" fontId="0" fillId="13" borderId="6" xfId="0" applyNumberFormat="1" applyFill="1" applyBorder="1" applyAlignment="1">
      <alignment/>
    </xf>
    <xf numFmtId="1" fontId="0" fillId="19" borderId="6" xfId="0" applyNumberFormat="1" applyFill="1" applyBorder="1" applyAlignment="1">
      <alignment/>
    </xf>
    <xf numFmtId="1" fontId="0" fillId="9" borderId="6" xfId="0" applyNumberFormat="1" applyFill="1" applyBorder="1" applyAlignment="1">
      <alignment horizontal="right"/>
    </xf>
    <xf numFmtId="1" fontId="0" fillId="13" borderId="6" xfId="0" applyNumberForma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/>
    </xf>
    <xf numFmtId="1" fontId="0" fillId="0" borderId="6" xfId="0" applyNumberFormat="1" applyBorder="1" applyAlignment="1">
      <alignment horizontal="right"/>
    </xf>
    <xf numFmtId="1" fontId="0" fillId="0" borderId="6" xfId="0" applyNumberFormat="1" applyBorder="1" applyAlignment="1">
      <alignment/>
    </xf>
    <xf numFmtId="1" fontId="0" fillId="22" borderId="6" xfId="0" applyNumberFormat="1" applyFill="1" applyBorder="1" applyAlignment="1">
      <alignment/>
    </xf>
    <xf numFmtId="1" fontId="0" fillId="4" borderId="6" xfId="0" applyNumberFormat="1" applyFill="1" applyBorder="1" applyAlignment="1">
      <alignment/>
    </xf>
    <xf numFmtId="2" fontId="2" fillId="0" borderId="6" xfId="0" applyFont="1" applyBorder="1" applyAlignment="1">
      <alignment/>
    </xf>
    <xf numFmtId="1" fontId="0" fillId="0" borderId="25" xfId="0" applyNumberFormat="1" applyBorder="1" applyAlignment="1">
      <alignment horizontal="right"/>
    </xf>
    <xf numFmtId="2" fontId="0" fillId="23" borderId="23" xfId="0" applyFill="1" applyBorder="1" applyAlignment="1">
      <alignment horizontal="right"/>
    </xf>
    <xf numFmtId="1" fontId="0" fillId="13" borderId="16" xfId="0" applyNumberForma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" fontId="0" fillId="0" borderId="14" xfId="0" applyFill="1" applyBorder="1" applyAlignment="1">
      <alignment horizontal="left" wrapText="1"/>
    </xf>
    <xf numFmtId="2" fontId="0" fillId="0" borderId="14" xfId="0" applyFont="1" applyFill="1" applyBorder="1" applyAlignment="1">
      <alignment horizontal="left" wrapText="1"/>
    </xf>
    <xf numFmtId="2" fontId="0" fillId="0" borderId="14" xfId="0" applyFill="1" applyBorder="1" applyAlignment="1">
      <alignment horizontal="left"/>
    </xf>
    <xf numFmtId="2" fontId="0" fillId="0" borderId="0" xfId="0" applyBorder="1" applyAlignment="1">
      <alignment horizontal="center"/>
    </xf>
    <xf numFmtId="2" fontId="2" fillId="0" borderId="18" xfId="0" applyFont="1" applyBorder="1" applyAlignment="1">
      <alignment horizontal="center" wrapText="1"/>
    </xf>
    <xf numFmtId="2" fontId="2" fillId="0" borderId="19" xfId="0" applyFont="1" applyBorder="1" applyAlignment="1">
      <alignment horizontal="center" wrapText="1"/>
    </xf>
    <xf numFmtId="2" fontId="2" fillId="0" borderId="3" xfId="0" applyFont="1" applyBorder="1" applyAlignment="1">
      <alignment horizontal="center"/>
    </xf>
    <xf numFmtId="2" fontId="2" fillId="0" borderId="5" xfId="0" applyFont="1" applyBorder="1" applyAlignment="1">
      <alignment horizontal="center"/>
    </xf>
    <xf numFmtId="2" fontId="2" fillId="0" borderId="18" xfId="0" applyFont="1" applyBorder="1" applyAlignment="1">
      <alignment horizontal="center"/>
    </xf>
    <xf numFmtId="2" fontId="2" fillId="0" borderId="19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3" xfId="0" applyFont="1" applyBorder="1" applyAlignment="1">
      <alignment horizontal="center" wrapText="1"/>
    </xf>
    <xf numFmtId="2" fontId="2" fillId="0" borderId="0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2" fontId="2" fillId="0" borderId="10" xfId="0" applyFont="1" applyFill="1" applyBorder="1" applyAlignment="1">
      <alignment horizontal="center"/>
    </xf>
    <xf numFmtId="2" fontId="2" fillId="0" borderId="3" xfId="0" applyFont="1" applyFill="1" applyBorder="1" applyAlignment="1">
      <alignment horizontal="center"/>
    </xf>
    <xf numFmtId="2" fontId="2" fillId="0" borderId="17" xfId="0" applyFont="1" applyFill="1" applyBorder="1" applyAlignment="1">
      <alignment horizontal="center"/>
    </xf>
    <xf numFmtId="2" fontId="0" fillId="0" borderId="0" xfId="0" applyFont="1" applyBorder="1" applyAlignment="1">
      <alignment horizontal="right"/>
    </xf>
    <xf numFmtId="2" fontId="0" fillId="0" borderId="0" xfId="0" applyBorder="1" applyAlignment="1">
      <alignment horizontal="left" wrapText="1"/>
    </xf>
    <xf numFmtId="2" fontId="0" fillId="0" borderId="0" xfId="0" applyFont="1" applyBorder="1" applyAlignment="1">
      <alignment horizontal="left" wrapText="1"/>
    </xf>
    <xf numFmtId="2" fontId="0" fillId="0" borderId="0" xfId="0" applyFont="1" applyBorder="1" applyAlignment="1">
      <alignment horizontal="right" wrapText="1"/>
    </xf>
    <xf numFmtId="2" fontId="0" fillId="0" borderId="0" xfId="0" applyFont="1" applyBorder="1" applyAlignment="1">
      <alignment horizontal="left"/>
    </xf>
    <xf numFmtId="2" fontId="2" fillId="2" borderId="14" xfId="0" applyFont="1" applyFill="1" applyBorder="1" applyAlignment="1">
      <alignment horizontal="left" wrapText="1"/>
    </xf>
    <xf numFmtId="2" fontId="0" fillId="0" borderId="26" xfId="0" applyBorder="1" applyAlignment="1">
      <alignment horizontal="left" wrapText="1"/>
    </xf>
    <xf numFmtId="2" fontId="0" fillId="0" borderId="26" xfId="0" applyFont="1" applyBorder="1" applyAlignment="1">
      <alignment horizontal="left" wrapText="1"/>
    </xf>
    <xf numFmtId="2" fontId="0" fillId="0" borderId="14" xfId="0" applyFont="1" applyFill="1" applyBorder="1" applyAlignment="1">
      <alignment horizontal="left"/>
    </xf>
    <xf numFmtId="2" fontId="0" fillId="0" borderId="14" xfId="0" applyBorder="1" applyAlignment="1">
      <alignment horizontal="left" wrapText="1"/>
    </xf>
    <xf numFmtId="2" fontId="0" fillId="0" borderId="14" xfId="0" applyFont="1" applyBorder="1" applyAlignment="1">
      <alignment horizontal="left" wrapText="1"/>
    </xf>
    <xf numFmtId="2" fontId="0" fillId="0" borderId="14" xfId="0" applyBorder="1" applyAlignment="1">
      <alignment horizontal="left"/>
    </xf>
    <xf numFmtId="2" fontId="0" fillId="0" borderId="14" xfId="0" applyFont="1" applyBorder="1" applyAlignment="1">
      <alignment horizontal="left"/>
    </xf>
    <xf numFmtId="2" fontId="2" fillId="26" borderId="0" xfId="0" applyFont="1" applyFill="1" applyBorder="1" applyAlignment="1">
      <alignment horizontal="left"/>
    </xf>
    <xf numFmtId="2" fontId="2" fillId="2" borderId="0" xfId="0" applyFont="1" applyFill="1" applyBorder="1" applyAlignment="1">
      <alignment horizontal="left"/>
    </xf>
    <xf numFmtId="2" fontId="0" fillId="0" borderId="0" xfId="0" applyFill="1" applyBorder="1" applyAlignment="1">
      <alignment horizontal="right"/>
    </xf>
    <xf numFmtId="2" fontId="2" fillId="7" borderId="0" xfId="0" applyFont="1" applyFill="1" applyBorder="1" applyAlignment="1">
      <alignment horizontal="center" wrapText="1"/>
    </xf>
    <xf numFmtId="2" fontId="2" fillId="0" borderId="3" xfId="0" applyFont="1" applyBorder="1" applyAlignment="1">
      <alignment horizontal="left"/>
    </xf>
    <xf numFmtId="2" fontId="2" fillId="0" borderId="4" xfId="0" applyFont="1" applyBorder="1" applyAlignment="1">
      <alignment horizontal="center" wrapText="1"/>
    </xf>
    <xf numFmtId="2" fontId="2" fillId="0" borderId="1" xfId="0" applyFont="1" applyBorder="1" applyAlignment="1">
      <alignment horizontal="center" wrapText="1"/>
    </xf>
    <xf numFmtId="2" fontId="2" fillId="0" borderId="12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/>
    </xf>
    <xf numFmtId="2" fontId="2" fillId="0" borderId="0" xfId="0" applyFont="1" applyFill="1" applyBorder="1" applyAlignment="1">
      <alignment horizontal="center"/>
    </xf>
    <xf numFmtId="2" fontId="2" fillId="0" borderId="27" xfId="0" applyFont="1" applyBorder="1" applyAlignment="1">
      <alignment horizontal="center" wrapText="1"/>
    </xf>
    <xf numFmtId="2" fontId="2" fillId="0" borderId="28" xfId="0" applyFont="1" applyBorder="1" applyAlignment="1">
      <alignment horizontal="center" wrapText="1"/>
    </xf>
    <xf numFmtId="2" fontId="2" fillId="0" borderId="3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0"/>
  <sheetViews>
    <sheetView tabSelected="1" workbookViewId="0" topLeftCell="A263">
      <selection activeCell="M398" sqref="M398"/>
    </sheetView>
  </sheetViews>
  <sheetFormatPr defaultColWidth="9.140625" defaultRowHeight="12.75"/>
  <cols>
    <col min="1" max="1" width="5.00390625" style="0" customWidth="1"/>
    <col min="2" max="2" width="6.57421875" style="0" customWidth="1"/>
    <col min="3" max="3" width="7.8515625" style="0" customWidth="1"/>
    <col min="4" max="4" width="10.00390625" style="0" customWidth="1"/>
    <col min="5" max="5" width="29.140625" style="0" customWidth="1"/>
    <col min="6" max="6" width="14.00390625" style="0" customWidth="1"/>
    <col min="7" max="9" width="14.57421875" style="0" hidden="1" customWidth="1"/>
    <col min="10" max="10" width="16.28125" style="0" customWidth="1"/>
    <col min="11" max="12" width="14.57421875" style="0" hidden="1" customWidth="1"/>
    <col min="13" max="13" width="17.421875" style="0" customWidth="1"/>
    <col min="14" max="15" width="18.421875" style="0" hidden="1" customWidth="1"/>
    <col min="16" max="16" width="6.00390625" style="1" customWidth="1"/>
    <col min="17" max="17" width="8.57421875" style="2" customWidth="1"/>
    <col min="18" max="18" width="7.140625" style="2" customWidth="1"/>
    <col min="19" max="19" width="13.57421875" style="2" customWidth="1"/>
    <col min="20" max="20" width="21.421875" style="2" customWidth="1"/>
    <col min="21" max="21" width="13.57421875" style="2" customWidth="1"/>
    <col min="22" max="22" width="17.00390625" style="2" customWidth="1"/>
    <col min="23" max="23" width="36.00390625" style="2" customWidth="1"/>
    <col min="24" max="16384" width="9.140625" style="2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2.75">
      <c r="A2" s="472" t="s">
        <v>245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3" ht="25.5" customHeight="1">
      <c r="A4" s="466" t="s">
        <v>0</v>
      </c>
      <c r="B4" s="471" t="s">
        <v>1</v>
      </c>
      <c r="C4" s="495" t="s">
        <v>291</v>
      </c>
      <c r="D4" s="494" t="s">
        <v>2</v>
      </c>
      <c r="E4" s="494"/>
      <c r="F4" s="466" t="s">
        <v>3</v>
      </c>
      <c r="G4" s="466" t="s">
        <v>4</v>
      </c>
      <c r="H4" s="466"/>
      <c r="I4" s="466"/>
      <c r="J4" s="466" t="s">
        <v>5</v>
      </c>
      <c r="K4" s="466"/>
      <c r="L4" s="466"/>
      <c r="M4" s="498" t="s">
        <v>6</v>
      </c>
      <c r="N4" s="498" t="s">
        <v>7</v>
      </c>
      <c r="O4" s="498" t="s">
        <v>8</v>
      </c>
      <c r="P4" s="4" t="s">
        <v>9</v>
      </c>
      <c r="Q4" s="5" t="s">
        <v>10</v>
      </c>
      <c r="R4" s="5" t="s">
        <v>11</v>
      </c>
      <c r="S4" s="501" t="s">
        <v>249</v>
      </c>
      <c r="T4" s="464" t="s">
        <v>247</v>
      </c>
      <c r="U4" s="464" t="s">
        <v>267</v>
      </c>
      <c r="V4" s="464" t="s">
        <v>270</v>
      </c>
      <c r="W4" s="468" t="s">
        <v>271</v>
      </c>
    </row>
    <row r="5" spans="1:23" ht="12.75">
      <c r="A5" s="466"/>
      <c r="B5" s="471"/>
      <c r="C5" s="496"/>
      <c r="D5" s="494"/>
      <c r="E5" s="494"/>
      <c r="F5" s="466"/>
      <c r="G5" s="466" t="s">
        <v>12</v>
      </c>
      <c r="H5" s="466" t="s">
        <v>13</v>
      </c>
      <c r="I5" s="466" t="s">
        <v>14</v>
      </c>
      <c r="J5" s="466" t="s">
        <v>15</v>
      </c>
      <c r="K5" s="503" t="s">
        <v>16</v>
      </c>
      <c r="L5" s="471" t="s">
        <v>17</v>
      </c>
      <c r="M5" s="498"/>
      <c r="N5" s="498"/>
      <c r="O5" s="498"/>
      <c r="P5" s="6" t="s">
        <v>18</v>
      </c>
      <c r="Q5" s="7" t="s">
        <v>19</v>
      </c>
      <c r="R5" s="7" t="s">
        <v>19</v>
      </c>
      <c r="S5" s="502"/>
      <c r="T5" s="465"/>
      <c r="U5" s="465"/>
      <c r="V5" s="465"/>
      <c r="W5" s="469"/>
    </row>
    <row r="6" spans="1:23" ht="18" customHeight="1">
      <c r="A6" s="466"/>
      <c r="B6" s="471"/>
      <c r="C6" s="497"/>
      <c r="D6" s="494"/>
      <c r="E6" s="494"/>
      <c r="F6" s="466"/>
      <c r="G6" s="466"/>
      <c r="H6" s="466"/>
      <c r="I6" s="466"/>
      <c r="J6" s="466"/>
      <c r="K6" s="503"/>
      <c r="L6" s="471"/>
      <c r="M6" s="498"/>
      <c r="N6" s="498"/>
      <c r="O6" s="498"/>
      <c r="P6" s="6"/>
      <c r="Q6" s="7"/>
      <c r="R6" s="7" t="s">
        <v>20</v>
      </c>
      <c r="S6" s="200"/>
      <c r="T6" s="211"/>
      <c r="U6" s="211"/>
      <c r="V6" s="211"/>
      <c r="W6" s="211"/>
    </row>
    <row r="7" spans="1:23" ht="12.75">
      <c r="A7" s="8">
        <v>1</v>
      </c>
      <c r="B7" s="8">
        <v>2</v>
      </c>
      <c r="C7" s="9"/>
      <c r="D7" s="9"/>
      <c r="E7" s="10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9">
        <v>17</v>
      </c>
      <c r="T7" s="216" t="s">
        <v>248</v>
      </c>
      <c r="U7" s="216" t="s">
        <v>268</v>
      </c>
      <c r="V7" s="287">
        <v>20</v>
      </c>
      <c r="W7" s="211"/>
    </row>
    <row r="8" spans="1:23" ht="12.75">
      <c r="A8" s="467" t="s">
        <v>21</v>
      </c>
      <c r="B8" s="467"/>
      <c r="C8" s="467"/>
      <c r="D8" s="467"/>
      <c r="E8" s="467"/>
      <c r="F8" s="12"/>
      <c r="G8" s="12"/>
      <c r="H8" s="12"/>
      <c r="I8" s="12"/>
      <c r="J8" s="12"/>
      <c r="K8" s="12"/>
      <c r="L8" s="12"/>
      <c r="M8" s="13"/>
      <c r="N8" s="14"/>
      <c r="O8" s="14"/>
      <c r="P8" s="14"/>
      <c r="Q8" s="15"/>
      <c r="R8" s="15"/>
      <c r="S8" s="1"/>
      <c r="T8" s="211"/>
      <c r="U8" s="211"/>
      <c r="V8" s="211"/>
      <c r="W8" s="211"/>
    </row>
    <row r="9" spans="1:23" ht="12.75">
      <c r="A9" s="16">
        <v>1</v>
      </c>
      <c r="B9" s="16">
        <v>3001</v>
      </c>
      <c r="C9" s="16"/>
      <c r="D9" s="17" t="s">
        <v>22</v>
      </c>
      <c r="E9" s="17" t="s">
        <v>23</v>
      </c>
      <c r="F9" s="18">
        <v>1</v>
      </c>
      <c r="G9" s="18">
        <v>4</v>
      </c>
      <c r="H9" s="18">
        <v>4</v>
      </c>
      <c r="I9" s="18">
        <v>0</v>
      </c>
      <c r="J9" s="19">
        <f>SUM(K9:L9)</f>
        <v>203.31</v>
      </c>
      <c r="K9" s="20">
        <v>203.31</v>
      </c>
      <c r="L9" s="20"/>
      <c r="M9" s="21">
        <v>65810.5</v>
      </c>
      <c r="N9" s="22">
        <v>64263.23</v>
      </c>
      <c r="O9" s="21">
        <f>M9-N9</f>
        <v>1547.2699999999968</v>
      </c>
      <c r="P9" s="23">
        <v>1905</v>
      </c>
      <c r="Q9" s="24" t="s">
        <v>24</v>
      </c>
      <c r="R9" s="24" t="s">
        <v>24</v>
      </c>
      <c r="S9" s="201"/>
      <c r="T9" s="211"/>
      <c r="U9" s="288">
        <v>2710</v>
      </c>
      <c r="V9" s="290">
        <f>U9*J9</f>
        <v>550970.1</v>
      </c>
      <c r="W9" s="211"/>
    </row>
    <row r="10" spans="1:23" ht="12.75">
      <c r="A10" s="16">
        <f aca="true" t="shared" si="0" ref="A10:A73">A9+1</f>
        <v>2</v>
      </c>
      <c r="B10" s="16">
        <v>3009</v>
      </c>
      <c r="C10" s="16"/>
      <c r="D10" s="17" t="s">
        <v>22</v>
      </c>
      <c r="E10" s="17" t="s">
        <v>23</v>
      </c>
      <c r="F10" s="18">
        <v>6</v>
      </c>
      <c r="G10" s="18">
        <f aca="true" t="shared" si="1" ref="G10:G20">SUM(H10:I10)</f>
        <v>4</v>
      </c>
      <c r="H10" s="18">
        <v>4</v>
      </c>
      <c r="I10" s="18">
        <v>0</v>
      </c>
      <c r="J10" s="19">
        <f aca="true" t="shared" si="2" ref="J10:J39">SUM(K10:L10)</f>
        <v>224.3</v>
      </c>
      <c r="K10" s="20">
        <v>224.3</v>
      </c>
      <c r="L10" s="20"/>
      <c r="M10" s="21">
        <v>65250.65</v>
      </c>
      <c r="N10" s="22">
        <v>61165.54</v>
      </c>
      <c r="O10" s="21">
        <f aca="true" t="shared" si="3" ref="O10:O39">M10-N10</f>
        <v>4085.1100000000006</v>
      </c>
      <c r="P10" s="23">
        <v>1910</v>
      </c>
      <c r="Q10" s="24" t="s">
        <v>24</v>
      </c>
      <c r="R10" s="24" t="s">
        <v>24</v>
      </c>
      <c r="S10" s="201"/>
      <c r="T10" s="211"/>
      <c r="U10" s="288">
        <v>2710</v>
      </c>
      <c r="V10" s="290">
        <f aca="true" t="shared" si="4" ref="V10:V25">U10*J10</f>
        <v>607853</v>
      </c>
      <c r="W10" s="211"/>
    </row>
    <row r="11" spans="1:23" ht="12.75">
      <c r="A11" s="16">
        <f t="shared" si="0"/>
        <v>3</v>
      </c>
      <c r="B11" s="16">
        <v>3002</v>
      </c>
      <c r="C11" s="16"/>
      <c r="D11" s="17" t="s">
        <v>22</v>
      </c>
      <c r="E11" s="17" t="s">
        <v>23</v>
      </c>
      <c r="F11" s="18">
        <v>7</v>
      </c>
      <c r="G11" s="18">
        <f t="shared" si="1"/>
        <v>3</v>
      </c>
      <c r="H11" s="18">
        <v>3</v>
      </c>
      <c r="I11" s="18">
        <v>0</v>
      </c>
      <c r="J11" s="19">
        <f t="shared" si="2"/>
        <v>168.48</v>
      </c>
      <c r="K11" s="20">
        <v>168.48</v>
      </c>
      <c r="L11" s="20"/>
      <c r="M11" s="21">
        <v>45332</v>
      </c>
      <c r="N11" s="22">
        <v>33357.53</v>
      </c>
      <c r="O11" s="21">
        <f t="shared" si="3"/>
        <v>11974.470000000001</v>
      </c>
      <c r="P11" s="23">
        <v>1910</v>
      </c>
      <c r="Q11" s="24" t="s">
        <v>24</v>
      </c>
      <c r="R11" s="24" t="s">
        <v>24</v>
      </c>
      <c r="S11" s="201"/>
      <c r="T11" s="211"/>
      <c r="U11" s="288">
        <v>2710</v>
      </c>
      <c r="V11" s="290">
        <f t="shared" si="4"/>
        <v>456580.8</v>
      </c>
      <c r="W11" s="211"/>
    </row>
    <row r="12" spans="1:23" ht="12.75">
      <c r="A12" s="16">
        <f t="shared" si="0"/>
        <v>4</v>
      </c>
      <c r="B12" s="16">
        <v>3008</v>
      </c>
      <c r="C12" s="16"/>
      <c r="D12" s="17" t="s">
        <v>22</v>
      </c>
      <c r="E12" s="17" t="s">
        <v>23</v>
      </c>
      <c r="F12" s="18">
        <v>8</v>
      </c>
      <c r="G12" s="18">
        <f t="shared" si="1"/>
        <v>6</v>
      </c>
      <c r="H12" s="18">
        <v>6</v>
      </c>
      <c r="I12" s="18">
        <v>0</v>
      </c>
      <c r="J12" s="19">
        <f t="shared" si="2"/>
        <v>224.8</v>
      </c>
      <c r="K12" s="20">
        <f>225.86-1.06</f>
        <v>224.8</v>
      </c>
      <c r="L12" s="20"/>
      <c r="M12" s="21">
        <v>93090.26</v>
      </c>
      <c r="N12" s="22">
        <v>28453.25</v>
      </c>
      <c r="O12" s="21">
        <f t="shared" si="3"/>
        <v>64637.009999999995</v>
      </c>
      <c r="P12" s="23">
        <v>1910</v>
      </c>
      <c r="Q12" s="24" t="s">
        <v>24</v>
      </c>
      <c r="R12" s="24" t="s">
        <v>24</v>
      </c>
      <c r="S12" s="202">
        <v>1998</v>
      </c>
      <c r="T12" s="211"/>
      <c r="U12" s="288">
        <v>2710</v>
      </c>
      <c r="V12" s="290">
        <f t="shared" si="4"/>
        <v>609208</v>
      </c>
      <c r="W12" s="211"/>
    </row>
    <row r="13" spans="1:23" ht="12.75">
      <c r="A13" s="16">
        <f t="shared" si="0"/>
        <v>5</v>
      </c>
      <c r="B13" s="16">
        <v>3003</v>
      </c>
      <c r="C13" s="16"/>
      <c r="D13" s="17" t="s">
        <v>22</v>
      </c>
      <c r="E13" s="17" t="s">
        <v>23</v>
      </c>
      <c r="F13" s="18">
        <v>11</v>
      </c>
      <c r="G13" s="18">
        <f t="shared" si="1"/>
        <v>2</v>
      </c>
      <c r="H13" s="18">
        <v>2</v>
      </c>
      <c r="I13" s="18">
        <v>0</v>
      </c>
      <c r="J13" s="19">
        <f t="shared" si="2"/>
        <v>138.4</v>
      </c>
      <c r="K13" s="20">
        <v>138.4</v>
      </c>
      <c r="L13" s="20"/>
      <c r="M13" s="21">
        <v>66367.77</v>
      </c>
      <c r="N13" s="22">
        <v>47908.44</v>
      </c>
      <c r="O13" s="21">
        <f t="shared" si="3"/>
        <v>18459.33</v>
      </c>
      <c r="P13" s="23">
        <v>1910</v>
      </c>
      <c r="Q13" s="24" t="s">
        <v>24</v>
      </c>
      <c r="R13" s="24" t="s">
        <v>24</v>
      </c>
      <c r="S13" s="201"/>
      <c r="T13" s="211"/>
      <c r="U13" s="288">
        <v>2710</v>
      </c>
      <c r="V13" s="290">
        <f t="shared" si="4"/>
        <v>375064</v>
      </c>
      <c r="W13" s="211"/>
    </row>
    <row r="14" spans="1:23" ht="12.75">
      <c r="A14" s="16">
        <f t="shared" si="0"/>
        <v>6</v>
      </c>
      <c r="B14" s="16">
        <v>3005</v>
      </c>
      <c r="C14" s="16"/>
      <c r="D14" s="17" t="s">
        <v>22</v>
      </c>
      <c r="E14" s="17" t="s">
        <v>23</v>
      </c>
      <c r="F14" s="18">
        <v>21</v>
      </c>
      <c r="G14" s="18">
        <f t="shared" si="1"/>
        <v>5</v>
      </c>
      <c r="H14" s="18">
        <v>5</v>
      </c>
      <c r="I14" s="18">
        <v>0</v>
      </c>
      <c r="J14" s="19">
        <f t="shared" si="2"/>
        <v>221.19</v>
      </c>
      <c r="K14" s="20">
        <f>216.24+4.95</f>
        <v>221.19</v>
      </c>
      <c r="L14" s="20"/>
      <c r="M14" s="21">
        <v>75844.39</v>
      </c>
      <c r="N14" s="22">
        <v>43353.61</v>
      </c>
      <c r="O14" s="21">
        <f t="shared" si="3"/>
        <v>32490.78</v>
      </c>
      <c r="P14" s="23">
        <v>1910</v>
      </c>
      <c r="Q14" s="24" t="s">
        <v>24</v>
      </c>
      <c r="R14" s="24" t="s">
        <v>24</v>
      </c>
      <c r="S14" s="201"/>
      <c r="T14" s="211"/>
      <c r="U14" s="288">
        <v>2710</v>
      </c>
      <c r="V14" s="290">
        <f t="shared" si="4"/>
        <v>599424.9</v>
      </c>
      <c r="W14" s="211"/>
    </row>
    <row r="15" spans="1:23" ht="12.75">
      <c r="A15" s="16">
        <f t="shared" si="0"/>
        <v>7</v>
      </c>
      <c r="B15" s="16">
        <v>3010</v>
      </c>
      <c r="C15" s="16"/>
      <c r="D15" s="17" t="s">
        <v>22</v>
      </c>
      <c r="E15" s="17" t="s">
        <v>23</v>
      </c>
      <c r="F15" s="18">
        <v>25</v>
      </c>
      <c r="G15" s="18">
        <f t="shared" si="1"/>
        <v>4</v>
      </c>
      <c r="H15" s="18">
        <v>4</v>
      </c>
      <c r="I15" s="18">
        <v>0</v>
      </c>
      <c r="J15" s="19">
        <f t="shared" si="2"/>
        <v>301.28</v>
      </c>
      <c r="K15" s="20">
        <v>301.28</v>
      </c>
      <c r="L15" s="20"/>
      <c r="M15" s="21">
        <v>161207.49</v>
      </c>
      <c r="N15" s="22">
        <v>36872</v>
      </c>
      <c r="O15" s="21">
        <f t="shared" si="3"/>
        <v>124335.48999999999</v>
      </c>
      <c r="P15" s="23">
        <v>1928</v>
      </c>
      <c r="Q15" s="24" t="s">
        <v>24</v>
      </c>
      <c r="R15" s="24" t="s">
        <v>24</v>
      </c>
      <c r="S15" s="201"/>
      <c r="T15" s="211"/>
      <c r="U15" s="288">
        <v>2710</v>
      </c>
      <c r="V15" s="290">
        <f t="shared" si="4"/>
        <v>816468.7999999999</v>
      </c>
      <c r="W15" s="211"/>
    </row>
    <row r="16" spans="1:23" ht="12.75">
      <c r="A16" s="16">
        <f t="shared" si="0"/>
        <v>8</v>
      </c>
      <c r="B16" s="16">
        <v>3006</v>
      </c>
      <c r="C16" s="16"/>
      <c r="D16" s="17" t="s">
        <v>22</v>
      </c>
      <c r="E16" s="17" t="s">
        <v>23</v>
      </c>
      <c r="F16" s="18" t="s">
        <v>25</v>
      </c>
      <c r="G16" s="18">
        <f t="shared" si="1"/>
        <v>1</v>
      </c>
      <c r="H16" s="18">
        <v>1</v>
      </c>
      <c r="I16" s="18">
        <v>0</v>
      </c>
      <c r="J16" s="19">
        <f t="shared" si="2"/>
        <v>48.87</v>
      </c>
      <c r="K16" s="20">
        <v>48.87</v>
      </c>
      <c r="L16" s="20"/>
      <c r="M16" s="21">
        <v>73119.72</v>
      </c>
      <c r="N16" s="22">
        <v>55985.45</v>
      </c>
      <c r="O16" s="21">
        <f t="shared" si="3"/>
        <v>17134.270000000004</v>
      </c>
      <c r="P16" s="23">
        <v>1910</v>
      </c>
      <c r="Q16" s="24" t="s">
        <v>24</v>
      </c>
      <c r="R16" s="24" t="s">
        <v>24</v>
      </c>
      <c r="S16" s="201"/>
      <c r="T16" s="211"/>
      <c r="U16" s="288">
        <v>2710</v>
      </c>
      <c r="V16" s="290">
        <f t="shared" si="4"/>
        <v>132437.69999999998</v>
      </c>
      <c r="W16" s="211"/>
    </row>
    <row r="17" spans="1:23" ht="12.75">
      <c r="A17" s="16">
        <f t="shared" si="0"/>
        <v>9</v>
      </c>
      <c r="B17" s="16">
        <v>1115</v>
      </c>
      <c r="C17" s="16"/>
      <c r="D17" s="17" t="s">
        <v>22</v>
      </c>
      <c r="E17" s="17" t="s">
        <v>26</v>
      </c>
      <c r="F17" s="18">
        <v>9</v>
      </c>
      <c r="G17" s="18">
        <f t="shared" si="1"/>
        <v>150</v>
      </c>
      <c r="H17" s="18">
        <f>116+1-1</f>
        <v>116</v>
      </c>
      <c r="I17" s="18">
        <v>34</v>
      </c>
      <c r="J17" s="19">
        <f t="shared" si="2"/>
        <v>6509.78</v>
      </c>
      <c r="K17" s="25">
        <f>5064.55+44.7-44.7</f>
        <v>5064.55</v>
      </c>
      <c r="L17" s="25">
        <f>1419.4-44.7+44.7+24.79-3.14-6.13+10.31</f>
        <v>1445.2299999999998</v>
      </c>
      <c r="M17" s="21">
        <v>4968920.96</v>
      </c>
      <c r="N17" s="22">
        <v>2574485.7</v>
      </c>
      <c r="O17" s="21">
        <f t="shared" si="3"/>
        <v>2394435.26</v>
      </c>
      <c r="P17" s="23">
        <v>1979</v>
      </c>
      <c r="Q17" s="24"/>
      <c r="R17" s="24"/>
      <c r="S17" s="201"/>
      <c r="T17" s="211"/>
      <c r="U17" s="288">
        <v>2710</v>
      </c>
      <c r="V17" s="290">
        <f t="shared" si="4"/>
        <v>17641503.8</v>
      </c>
      <c r="W17" s="211"/>
    </row>
    <row r="18" spans="1:23" ht="12.75">
      <c r="A18" s="191">
        <f t="shared" si="0"/>
        <v>10</v>
      </c>
      <c r="B18" s="191">
        <v>1116</v>
      </c>
      <c r="C18" s="191"/>
      <c r="D18" s="192" t="s">
        <v>22</v>
      </c>
      <c r="E18" s="192" t="s">
        <v>26</v>
      </c>
      <c r="F18" s="193">
        <v>11</v>
      </c>
      <c r="G18" s="193">
        <f t="shared" si="1"/>
        <v>141</v>
      </c>
      <c r="H18" s="193">
        <v>115</v>
      </c>
      <c r="I18" s="193">
        <v>26</v>
      </c>
      <c r="J18" s="195">
        <f t="shared" si="2"/>
        <v>6598.7</v>
      </c>
      <c r="K18" s="195">
        <v>4940.11</v>
      </c>
      <c r="L18" s="195">
        <v>1658.59</v>
      </c>
      <c r="M18" s="196">
        <v>6552484.61</v>
      </c>
      <c r="N18" s="197">
        <v>3468570.95</v>
      </c>
      <c r="O18" s="196">
        <f t="shared" si="3"/>
        <v>3083913.66</v>
      </c>
      <c r="P18" s="198">
        <v>1979</v>
      </c>
      <c r="Q18" s="199"/>
      <c r="R18" s="199"/>
      <c r="S18" s="203"/>
      <c r="T18" s="211"/>
      <c r="U18" s="288">
        <v>2710</v>
      </c>
      <c r="V18" s="290">
        <f t="shared" si="4"/>
        <v>17882477</v>
      </c>
      <c r="W18" s="211"/>
    </row>
    <row r="19" spans="1:23" ht="12.75">
      <c r="A19" s="16">
        <f t="shared" si="0"/>
        <v>11</v>
      </c>
      <c r="B19" s="16">
        <v>3208</v>
      </c>
      <c r="C19" s="16"/>
      <c r="D19" s="17" t="s">
        <v>22</v>
      </c>
      <c r="E19" s="17" t="s">
        <v>26</v>
      </c>
      <c r="F19" s="18">
        <v>20</v>
      </c>
      <c r="G19" s="18">
        <f t="shared" si="1"/>
        <v>61</v>
      </c>
      <c r="H19" s="18">
        <v>54</v>
      </c>
      <c r="I19" s="18">
        <v>7</v>
      </c>
      <c r="J19" s="19">
        <f t="shared" si="2"/>
        <v>1325.48</v>
      </c>
      <c r="K19" s="20">
        <v>1108.97</v>
      </c>
      <c r="L19" s="20">
        <f>214.46+2.05</f>
        <v>216.51000000000002</v>
      </c>
      <c r="M19" s="21">
        <v>433233.45</v>
      </c>
      <c r="N19" s="22">
        <v>224961.28</v>
      </c>
      <c r="O19" s="21">
        <f t="shared" si="3"/>
        <v>208272.17</v>
      </c>
      <c r="P19" s="116" t="s">
        <v>253</v>
      </c>
      <c r="Q19" s="24"/>
      <c r="R19" s="24"/>
      <c r="S19" s="201"/>
      <c r="T19" s="211"/>
      <c r="U19" s="288">
        <v>2710</v>
      </c>
      <c r="V19" s="290">
        <f t="shared" si="4"/>
        <v>3592050.8000000003</v>
      </c>
      <c r="W19" s="211"/>
    </row>
    <row r="20" spans="1:23" ht="12.75">
      <c r="A20" s="16">
        <f t="shared" si="0"/>
        <v>12</v>
      </c>
      <c r="B20" s="16">
        <v>3209</v>
      </c>
      <c r="C20" s="16"/>
      <c r="D20" s="17" t="s">
        <v>22</v>
      </c>
      <c r="E20" s="17" t="s">
        <v>26</v>
      </c>
      <c r="F20" s="18">
        <v>22</v>
      </c>
      <c r="G20" s="18">
        <f t="shared" si="1"/>
        <v>53</v>
      </c>
      <c r="H20" s="18">
        <v>52</v>
      </c>
      <c r="I20" s="18">
        <v>1</v>
      </c>
      <c r="J20" s="19">
        <f t="shared" si="2"/>
        <v>1278.48</v>
      </c>
      <c r="K20" s="20">
        <f>1204.95-19-19</f>
        <v>1166.95</v>
      </c>
      <c r="L20" s="20">
        <f>92.53+19</f>
        <v>111.53</v>
      </c>
      <c r="M20" s="21">
        <v>503307.67</v>
      </c>
      <c r="N20" s="22">
        <v>248324.09</v>
      </c>
      <c r="O20" s="21">
        <f t="shared" si="3"/>
        <v>254983.58</v>
      </c>
      <c r="P20" s="116" t="s">
        <v>253</v>
      </c>
      <c r="Q20" s="24"/>
      <c r="R20" s="24"/>
      <c r="S20" s="201"/>
      <c r="T20" s="211"/>
      <c r="U20" s="288">
        <v>2710</v>
      </c>
      <c r="V20" s="290">
        <f t="shared" si="4"/>
        <v>3464680.8000000003</v>
      </c>
      <c r="W20" s="211"/>
    </row>
    <row r="21" spans="1:23" ht="12.75">
      <c r="A21" s="16">
        <f t="shared" si="0"/>
        <v>13</v>
      </c>
      <c r="B21" s="26">
        <v>1027</v>
      </c>
      <c r="C21" s="26"/>
      <c r="D21" s="27" t="s">
        <v>22</v>
      </c>
      <c r="E21" s="27" t="s">
        <v>27</v>
      </c>
      <c r="F21" s="28">
        <v>24</v>
      </c>
      <c r="G21" s="28">
        <v>5</v>
      </c>
      <c r="H21" s="28">
        <v>5</v>
      </c>
      <c r="I21" s="28">
        <v>0</v>
      </c>
      <c r="J21" s="19">
        <f t="shared" si="2"/>
        <v>388.88</v>
      </c>
      <c r="K21" s="25">
        <f>386.33+2.55</f>
        <v>388.88</v>
      </c>
      <c r="L21" s="25"/>
      <c r="M21" s="21">
        <v>100425.02</v>
      </c>
      <c r="N21" s="22">
        <v>77972.25</v>
      </c>
      <c r="O21" s="21">
        <f t="shared" si="3"/>
        <v>22452.770000000004</v>
      </c>
      <c r="P21" s="23">
        <v>1935</v>
      </c>
      <c r="Q21" s="24" t="s">
        <v>24</v>
      </c>
      <c r="R21" s="24" t="s">
        <v>24</v>
      </c>
      <c r="S21" s="201"/>
      <c r="T21" s="211"/>
      <c r="U21" s="288">
        <v>2710</v>
      </c>
      <c r="V21" s="290">
        <f t="shared" si="4"/>
        <v>1053864.8</v>
      </c>
      <c r="W21" s="211"/>
    </row>
    <row r="22" spans="1:23" ht="12.75">
      <c r="A22" s="16">
        <f t="shared" si="0"/>
        <v>14</v>
      </c>
      <c r="B22" s="16">
        <v>3022</v>
      </c>
      <c r="C22" s="16"/>
      <c r="D22" s="17" t="s">
        <v>22</v>
      </c>
      <c r="E22" s="17" t="s">
        <v>28</v>
      </c>
      <c r="F22" s="18">
        <v>13</v>
      </c>
      <c r="G22" s="18">
        <f aca="true" t="shared" si="5" ref="G22:G53">SUM(H22:I22)</f>
        <v>7</v>
      </c>
      <c r="H22" s="18">
        <v>6</v>
      </c>
      <c r="I22" s="18">
        <v>1</v>
      </c>
      <c r="J22" s="19">
        <f t="shared" si="2"/>
        <v>413.46</v>
      </c>
      <c r="K22" s="25">
        <v>343.62</v>
      </c>
      <c r="L22" s="25">
        <f>74.88-5.04</f>
        <v>69.83999999999999</v>
      </c>
      <c r="M22" s="21">
        <v>113030.09</v>
      </c>
      <c r="N22" s="22">
        <v>48907.66</v>
      </c>
      <c r="O22" s="21">
        <f t="shared" si="3"/>
        <v>64122.42999999999</v>
      </c>
      <c r="P22" s="23">
        <v>1923</v>
      </c>
      <c r="Q22" s="24" t="s">
        <v>24</v>
      </c>
      <c r="R22" s="24" t="s">
        <v>24</v>
      </c>
      <c r="S22" s="201"/>
      <c r="T22" s="211"/>
      <c r="U22" s="288">
        <v>2710</v>
      </c>
      <c r="V22" s="290">
        <f t="shared" si="4"/>
        <v>1120476.5999999999</v>
      </c>
      <c r="W22" s="211"/>
    </row>
    <row r="23" spans="1:23" ht="12.75">
      <c r="A23" s="16">
        <f t="shared" si="0"/>
        <v>15</v>
      </c>
      <c r="B23" s="16">
        <v>3032</v>
      </c>
      <c r="C23" s="16"/>
      <c r="D23" s="17" t="s">
        <v>22</v>
      </c>
      <c r="E23" s="17" t="s">
        <v>29</v>
      </c>
      <c r="F23" s="18">
        <v>8</v>
      </c>
      <c r="G23" s="18">
        <f t="shared" si="5"/>
        <v>4</v>
      </c>
      <c r="H23" s="18">
        <v>4</v>
      </c>
      <c r="I23" s="18">
        <v>0</v>
      </c>
      <c r="J23" s="19">
        <f t="shared" si="2"/>
        <v>155.18</v>
      </c>
      <c r="K23" s="20">
        <v>155.18</v>
      </c>
      <c r="L23" s="20"/>
      <c r="M23" s="21">
        <v>10000.07</v>
      </c>
      <c r="N23" s="22">
        <v>4787.46</v>
      </c>
      <c r="O23" s="21">
        <f t="shared" si="3"/>
        <v>5212.61</v>
      </c>
      <c r="P23" s="23">
        <v>1896</v>
      </c>
      <c r="Q23" s="24" t="s">
        <v>24</v>
      </c>
      <c r="R23" s="24" t="s">
        <v>24</v>
      </c>
      <c r="S23" s="201"/>
      <c r="T23" s="211"/>
      <c r="U23" s="288">
        <v>2710</v>
      </c>
      <c r="V23" s="290">
        <f t="shared" si="4"/>
        <v>420537.80000000005</v>
      </c>
      <c r="W23" s="211"/>
    </row>
    <row r="24" spans="1:23" ht="12.75">
      <c r="A24" s="16">
        <f t="shared" si="0"/>
        <v>16</v>
      </c>
      <c r="B24" s="16">
        <v>3030</v>
      </c>
      <c r="C24" s="16"/>
      <c r="D24" s="17" t="s">
        <v>22</v>
      </c>
      <c r="E24" s="17" t="s">
        <v>30</v>
      </c>
      <c r="F24" s="18">
        <v>3</v>
      </c>
      <c r="G24" s="18">
        <f t="shared" si="5"/>
        <v>4</v>
      </c>
      <c r="H24" s="18">
        <v>4</v>
      </c>
      <c r="I24" s="18">
        <v>0</v>
      </c>
      <c r="J24" s="19">
        <f t="shared" si="2"/>
        <v>242.73</v>
      </c>
      <c r="K24" s="20">
        <v>242.73</v>
      </c>
      <c r="L24" s="20"/>
      <c r="M24" s="21">
        <v>15794.89</v>
      </c>
      <c r="N24" s="22">
        <v>5438.32</v>
      </c>
      <c r="O24" s="21">
        <f t="shared" si="3"/>
        <v>10356.57</v>
      </c>
      <c r="P24" s="23">
        <v>1913</v>
      </c>
      <c r="Q24" s="24" t="s">
        <v>24</v>
      </c>
      <c r="R24" s="24" t="s">
        <v>24</v>
      </c>
      <c r="S24" s="201"/>
      <c r="T24" s="211"/>
      <c r="U24" s="288">
        <v>2710</v>
      </c>
      <c r="V24" s="290">
        <f t="shared" si="4"/>
        <v>657798.2999999999</v>
      </c>
      <c r="W24" s="211"/>
    </row>
    <row r="25" spans="1:23" ht="28.5" customHeight="1">
      <c r="A25" s="16">
        <f t="shared" si="0"/>
        <v>17</v>
      </c>
      <c r="B25" s="16">
        <v>3031</v>
      </c>
      <c r="C25" s="16"/>
      <c r="D25" s="17" t="s">
        <v>22</v>
      </c>
      <c r="E25" s="17" t="s">
        <v>30</v>
      </c>
      <c r="F25" s="18">
        <v>27</v>
      </c>
      <c r="G25" s="18">
        <f t="shared" si="5"/>
        <v>4</v>
      </c>
      <c r="H25" s="18">
        <v>4</v>
      </c>
      <c r="I25" s="18">
        <v>0</v>
      </c>
      <c r="J25" s="19">
        <f t="shared" si="2"/>
        <v>166.74</v>
      </c>
      <c r="K25" s="20">
        <v>166.74</v>
      </c>
      <c r="L25" s="20"/>
      <c r="M25" s="21">
        <v>31012.67</v>
      </c>
      <c r="N25" s="22">
        <v>31012.67</v>
      </c>
      <c r="O25" s="21">
        <f t="shared" si="3"/>
        <v>0</v>
      </c>
      <c r="P25" s="23">
        <v>1911</v>
      </c>
      <c r="Q25" s="24" t="s">
        <v>24</v>
      </c>
      <c r="R25" s="24" t="s">
        <v>24</v>
      </c>
      <c r="S25" s="218" t="s">
        <v>250</v>
      </c>
      <c r="T25" s="219" t="s">
        <v>251</v>
      </c>
      <c r="U25" s="288">
        <v>2710</v>
      </c>
      <c r="V25" s="290">
        <f t="shared" si="4"/>
        <v>451865.4</v>
      </c>
      <c r="W25" s="310"/>
    </row>
    <row r="26" spans="1:23" ht="12.75">
      <c r="A26" s="220">
        <f t="shared" si="0"/>
        <v>18</v>
      </c>
      <c r="B26" s="29">
        <v>3027</v>
      </c>
      <c r="C26" s="29"/>
      <c r="D26" s="30" t="s">
        <v>22</v>
      </c>
      <c r="E26" s="30" t="s">
        <v>31</v>
      </c>
      <c r="F26" s="31">
        <v>3</v>
      </c>
      <c r="G26" s="31">
        <f t="shared" si="5"/>
        <v>4</v>
      </c>
      <c r="H26" s="31">
        <v>4</v>
      </c>
      <c r="I26" s="31">
        <v>0</v>
      </c>
      <c r="J26" s="19">
        <f t="shared" si="2"/>
        <v>204.87</v>
      </c>
      <c r="K26" s="32">
        <v>204.87</v>
      </c>
      <c r="L26" s="32"/>
      <c r="M26" s="33">
        <v>42871.69</v>
      </c>
      <c r="N26" s="34">
        <v>41449.3</v>
      </c>
      <c r="O26" s="33">
        <f t="shared" si="3"/>
        <v>1422.3899999999994</v>
      </c>
      <c r="P26" s="35">
        <v>1910</v>
      </c>
      <c r="Q26" s="36" t="s">
        <v>24</v>
      </c>
      <c r="R26" s="36" t="s">
        <v>24</v>
      </c>
      <c r="S26" s="204"/>
      <c r="T26" s="230"/>
      <c r="U26" s="293"/>
      <c r="V26" s="292"/>
      <c r="W26" s="310" t="s">
        <v>272</v>
      </c>
    </row>
    <row r="27" spans="1:23" ht="12.75">
      <c r="A27" s="16">
        <f t="shared" si="0"/>
        <v>19</v>
      </c>
      <c r="B27" s="26">
        <v>3026</v>
      </c>
      <c r="C27" s="26"/>
      <c r="D27" s="27" t="s">
        <v>22</v>
      </c>
      <c r="E27" s="27" t="s">
        <v>32</v>
      </c>
      <c r="F27" s="28">
        <v>10</v>
      </c>
      <c r="G27" s="28">
        <f t="shared" si="5"/>
        <v>2</v>
      </c>
      <c r="H27" s="28">
        <v>2</v>
      </c>
      <c r="I27" s="28">
        <v>0</v>
      </c>
      <c r="J27" s="19">
        <f t="shared" si="2"/>
        <v>116.69</v>
      </c>
      <c r="K27" s="25">
        <v>116.69</v>
      </c>
      <c r="L27" s="25"/>
      <c r="M27" s="37">
        <v>53222.26</v>
      </c>
      <c r="N27" s="38">
        <v>22855.75</v>
      </c>
      <c r="O27" s="37">
        <f t="shared" si="3"/>
        <v>30366.510000000002</v>
      </c>
      <c r="P27" s="39">
        <v>1910</v>
      </c>
      <c r="Q27" s="40" t="s">
        <v>24</v>
      </c>
      <c r="R27" s="40" t="s">
        <v>24</v>
      </c>
      <c r="S27" s="205"/>
      <c r="T27" s="211"/>
      <c r="U27" s="288">
        <v>2710</v>
      </c>
      <c r="V27" s="290">
        <f>U27*J27</f>
        <v>316229.89999999997</v>
      </c>
      <c r="W27" s="310"/>
    </row>
    <row r="28" spans="1:23" ht="12.75">
      <c r="A28" s="16">
        <f t="shared" si="0"/>
        <v>20</v>
      </c>
      <c r="B28" s="16">
        <v>3029</v>
      </c>
      <c r="C28" s="16"/>
      <c r="D28" s="17" t="s">
        <v>22</v>
      </c>
      <c r="E28" s="17" t="s">
        <v>33</v>
      </c>
      <c r="F28" s="18">
        <v>11</v>
      </c>
      <c r="G28" s="18">
        <f t="shared" si="5"/>
        <v>2</v>
      </c>
      <c r="H28" s="18">
        <v>2</v>
      </c>
      <c r="I28" s="18">
        <v>0</v>
      </c>
      <c r="J28" s="19">
        <f t="shared" si="2"/>
        <v>98.4</v>
      </c>
      <c r="K28" s="20">
        <v>98.4</v>
      </c>
      <c r="L28" s="20"/>
      <c r="M28" s="21">
        <v>20332.34</v>
      </c>
      <c r="N28" s="22">
        <v>7610.56</v>
      </c>
      <c r="O28" s="21">
        <f t="shared" si="3"/>
        <v>12721.779999999999</v>
      </c>
      <c r="P28" s="23">
        <v>1910</v>
      </c>
      <c r="Q28" s="24" t="s">
        <v>24</v>
      </c>
      <c r="R28" s="24" t="s">
        <v>24</v>
      </c>
      <c r="S28" s="201"/>
      <c r="T28" s="211"/>
      <c r="U28" s="288">
        <v>2710</v>
      </c>
      <c r="V28" s="290">
        <f aca="true" t="shared" si="6" ref="V28:V90">U28*J28</f>
        <v>266664</v>
      </c>
      <c r="W28" s="310"/>
    </row>
    <row r="29" spans="1:23" ht="12.75">
      <c r="A29" s="16">
        <f t="shared" si="0"/>
        <v>21</v>
      </c>
      <c r="B29" s="16">
        <v>3033</v>
      </c>
      <c r="C29" s="16"/>
      <c r="D29" s="17" t="s">
        <v>22</v>
      </c>
      <c r="E29" s="17" t="s">
        <v>34</v>
      </c>
      <c r="F29" s="18">
        <v>12</v>
      </c>
      <c r="G29" s="18">
        <f t="shared" si="5"/>
        <v>4</v>
      </c>
      <c r="H29" s="18">
        <v>4</v>
      </c>
      <c r="I29" s="18">
        <v>0</v>
      </c>
      <c r="J29" s="19">
        <f t="shared" si="2"/>
        <v>160.3</v>
      </c>
      <c r="K29" s="20">
        <v>160.3</v>
      </c>
      <c r="L29" s="20"/>
      <c r="M29" s="21">
        <v>17980.24</v>
      </c>
      <c r="N29" s="22">
        <v>10358.99</v>
      </c>
      <c r="O29" s="21">
        <f t="shared" si="3"/>
        <v>7621.250000000002</v>
      </c>
      <c r="P29" s="23">
        <v>1920</v>
      </c>
      <c r="Q29" s="24" t="s">
        <v>24</v>
      </c>
      <c r="R29" s="24" t="s">
        <v>24</v>
      </c>
      <c r="S29" s="201"/>
      <c r="T29" s="211"/>
      <c r="U29" s="288">
        <v>2710</v>
      </c>
      <c r="V29" s="290">
        <f t="shared" si="6"/>
        <v>434413.00000000006</v>
      </c>
      <c r="W29" s="310"/>
    </row>
    <row r="30" spans="1:23" ht="12.75">
      <c r="A30" s="16">
        <f t="shared" si="0"/>
        <v>22</v>
      </c>
      <c r="B30" s="16">
        <v>3046</v>
      </c>
      <c r="C30" s="16"/>
      <c r="D30" s="17" t="s">
        <v>22</v>
      </c>
      <c r="E30" s="17" t="s">
        <v>35</v>
      </c>
      <c r="F30" s="18">
        <v>1</v>
      </c>
      <c r="G30" s="18">
        <f t="shared" si="5"/>
        <v>4</v>
      </c>
      <c r="H30" s="18">
        <v>4</v>
      </c>
      <c r="I30" s="18">
        <v>0</v>
      </c>
      <c r="J30" s="19">
        <f t="shared" si="2"/>
        <v>139.81</v>
      </c>
      <c r="K30" s="20">
        <v>139.81</v>
      </c>
      <c r="L30" s="20"/>
      <c r="M30" s="21">
        <v>26399.29</v>
      </c>
      <c r="N30" s="22">
        <v>26399.29</v>
      </c>
      <c r="O30" s="21">
        <f t="shared" si="3"/>
        <v>0</v>
      </c>
      <c r="P30" s="23">
        <v>1920</v>
      </c>
      <c r="Q30" s="24" t="s">
        <v>24</v>
      </c>
      <c r="R30" s="24" t="s">
        <v>24</v>
      </c>
      <c r="S30" s="201"/>
      <c r="T30" s="211"/>
      <c r="U30" s="288">
        <v>2710</v>
      </c>
      <c r="V30" s="290">
        <f t="shared" si="6"/>
        <v>378885.10000000003</v>
      </c>
      <c r="W30" s="310"/>
    </row>
    <row r="31" spans="1:23" ht="12.75">
      <c r="A31" s="16">
        <f t="shared" si="0"/>
        <v>23</v>
      </c>
      <c r="B31" s="16">
        <v>3047</v>
      </c>
      <c r="C31" s="16"/>
      <c r="D31" s="17" t="s">
        <v>22</v>
      </c>
      <c r="E31" s="17" t="s">
        <v>35</v>
      </c>
      <c r="F31" s="18">
        <v>6</v>
      </c>
      <c r="G31" s="18">
        <f t="shared" si="5"/>
        <v>2</v>
      </c>
      <c r="H31" s="18">
        <v>2</v>
      </c>
      <c r="I31" s="18">
        <v>0</v>
      </c>
      <c r="J31" s="19">
        <f t="shared" si="2"/>
        <v>124.5</v>
      </c>
      <c r="K31" s="20">
        <v>124.5</v>
      </c>
      <c r="L31" s="20"/>
      <c r="M31" s="21">
        <v>81639.58</v>
      </c>
      <c r="N31" s="22">
        <v>34817.75</v>
      </c>
      <c r="O31" s="21">
        <f t="shared" si="3"/>
        <v>46821.83</v>
      </c>
      <c r="P31" s="23">
        <v>192</v>
      </c>
      <c r="Q31" s="24" t="s">
        <v>24</v>
      </c>
      <c r="R31" s="24" t="s">
        <v>24</v>
      </c>
      <c r="S31" s="201"/>
      <c r="T31" s="211"/>
      <c r="U31" s="288">
        <v>2710</v>
      </c>
      <c r="V31" s="290">
        <f t="shared" si="6"/>
        <v>337395</v>
      </c>
      <c r="W31" s="310"/>
    </row>
    <row r="32" spans="1:23" ht="12.75">
      <c r="A32" s="16">
        <f t="shared" si="0"/>
        <v>24</v>
      </c>
      <c r="B32" s="16">
        <v>3035</v>
      </c>
      <c r="C32" s="16"/>
      <c r="D32" s="17" t="s">
        <v>22</v>
      </c>
      <c r="E32" s="17" t="s">
        <v>36</v>
      </c>
      <c r="F32" s="18">
        <v>4</v>
      </c>
      <c r="G32" s="18">
        <f t="shared" si="5"/>
        <v>3</v>
      </c>
      <c r="H32" s="18">
        <v>3</v>
      </c>
      <c r="I32" s="18">
        <v>0</v>
      </c>
      <c r="J32" s="19">
        <f t="shared" si="2"/>
        <v>128.15</v>
      </c>
      <c r="K32" s="20">
        <v>128.15</v>
      </c>
      <c r="L32" s="20"/>
      <c r="M32" s="21">
        <v>26557.07</v>
      </c>
      <c r="N32" s="22">
        <v>26557.07</v>
      </c>
      <c r="O32" s="21">
        <f t="shared" si="3"/>
        <v>0</v>
      </c>
      <c r="P32" s="23">
        <v>1922</v>
      </c>
      <c r="Q32" s="24" t="s">
        <v>24</v>
      </c>
      <c r="R32" s="24" t="s">
        <v>24</v>
      </c>
      <c r="S32" s="201"/>
      <c r="T32" s="211"/>
      <c r="U32" s="288">
        <v>2710</v>
      </c>
      <c r="V32" s="290">
        <f t="shared" si="6"/>
        <v>347286.5</v>
      </c>
      <c r="W32" s="310"/>
    </row>
    <row r="33" spans="1:23" ht="12.75">
      <c r="A33" s="16">
        <f t="shared" si="0"/>
        <v>25</v>
      </c>
      <c r="B33" s="16">
        <v>3045</v>
      </c>
      <c r="C33" s="16"/>
      <c r="D33" s="17" t="s">
        <v>22</v>
      </c>
      <c r="E33" s="17" t="s">
        <v>36</v>
      </c>
      <c r="F33" s="18">
        <v>5</v>
      </c>
      <c r="G33" s="18">
        <f t="shared" si="5"/>
        <v>2</v>
      </c>
      <c r="H33" s="18">
        <v>1</v>
      </c>
      <c r="I33" s="18">
        <v>1</v>
      </c>
      <c r="J33" s="19">
        <f t="shared" si="2"/>
        <v>106.72</v>
      </c>
      <c r="K33" s="20">
        <v>54.87</v>
      </c>
      <c r="L33" s="20">
        <v>51.85</v>
      </c>
      <c r="M33" s="21">
        <v>47535.83</v>
      </c>
      <c r="N33" s="22">
        <v>45249.59</v>
      </c>
      <c r="O33" s="21">
        <f t="shared" si="3"/>
        <v>2286.2400000000052</v>
      </c>
      <c r="P33" s="23">
        <v>1912</v>
      </c>
      <c r="Q33" s="24" t="s">
        <v>24</v>
      </c>
      <c r="R33" s="24" t="s">
        <v>24</v>
      </c>
      <c r="S33" s="201"/>
      <c r="T33" s="211"/>
      <c r="U33" s="288">
        <v>2710</v>
      </c>
      <c r="V33" s="290">
        <f t="shared" si="6"/>
        <v>289211.2</v>
      </c>
      <c r="W33" s="310"/>
    </row>
    <row r="34" spans="1:23" ht="12.75">
      <c r="A34" s="16">
        <f t="shared" si="0"/>
        <v>26</v>
      </c>
      <c r="B34" s="16">
        <v>3037</v>
      </c>
      <c r="C34" s="16"/>
      <c r="D34" s="17" t="s">
        <v>22</v>
      </c>
      <c r="E34" s="17" t="s">
        <v>36</v>
      </c>
      <c r="F34" s="18">
        <v>7</v>
      </c>
      <c r="G34" s="18">
        <f t="shared" si="5"/>
        <v>5</v>
      </c>
      <c r="H34" s="18">
        <v>3</v>
      </c>
      <c r="I34" s="18">
        <v>2</v>
      </c>
      <c r="J34" s="19">
        <f t="shared" si="2"/>
        <v>303.03999999999996</v>
      </c>
      <c r="K34" s="20">
        <v>189.23</v>
      </c>
      <c r="L34" s="20">
        <v>113.81</v>
      </c>
      <c r="M34" s="21">
        <v>59372.58</v>
      </c>
      <c r="N34" s="22">
        <v>59372.58</v>
      </c>
      <c r="O34" s="21">
        <f t="shared" si="3"/>
        <v>0</v>
      </c>
      <c r="P34" s="23">
        <v>1912</v>
      </c>
      <c r="Q34" s="24" t="s">
        <v>24</v>
      </c>
      <c r="R34" s="24" t="s">
        <v>24</v>
      </c>
      <c r="S34" s="201"/>
      <c r="T34" s="211"/>
      <c r="U34" s="288">
        <v>2710</v>
      </c>
      <c r="V34" s="290">
        <f t="shared" si="6"/>
        <v>821238.3999999999</v>
      </c>
      <c r="W34" s="310"/>
    </row>
    <row r="35" spans="1:23" ht="12.75">
      <c r="A35" s="16">
        <f t="shared" si="0"/>
        <v>27</v>
      </c>
      <c r="B35" s="16">
        <v>3044</v>
      </c>
      <c r="C35" s="16"/>
      <c r="D35" s="17" t="s">
        <v>22</v>
      </c>
      <c r="E35" s="17" t="s">
        <v>36</v>
      </c>
      <c r="F35" s="18">
        <v>24</v>
      </c>
      <c r="G35" s="18">
        <f t="shared" si="5"/>
        <v>5</v>
      </c>
      <c r="H35" s="18">
        <v>5</v>
      </c>
      <c r="I35" s="18">
        <v>0</v>
      </c>
      <c r="J35" s="19">
        <f t="shared" si="2"/>
        <v>223.55</v>
      </c>
      <c r="K35" s="20">
        <v>223.55</v>
      </c>
      <c r="L35" s="20"/>
      <c r="M35" s="21">
        <v>72839</v>
      </c>
      <c r="N35" s="22">
        <v>66632.53</v>
      </c>
      <c r="O35" s="21">
        <f t="shared" si="3"/>
        <v>6206.470000000001</v>
      </c>
      <c r="P35" s="23">
        <v>1910</v>
      </c>
      <c r="Q35" s="24" t="s">
        <v>24</v>
      </c>
      <c r="R35" s="24" t="s">
        <v>24</v>
      </c>
      <c r="S35" s="201"/>
      <c r="T35" s="211"/>
      <c r="U35" s="288">
        <v>2710</v>
      </c>
      <c r="V35" s="290">
        <f t="shared" si="6"/>
        <v>605820.5</v>
      </c>
      <c r="W35" s="310"/>
    </row>
    <row r="36" spans="1:23" ht="12.75">
      <c r="A36" s="16">
        <f t="shared" si="0"/>
        <v>28</v>
      </c>
      <c r="B36" s="16">
        <v>3048</v>
      </c>
      <c r="C36" s="16"/>
      <c r="D36" s="17" t="s">
        <v>22</v>
      </c>
      <c r="E36" s="17" t="s">
        <v>37</v>
      </c>
      <c r="F36" s="18">
        <v>13</v>
      </c>
      <c r="G36" s="18">
        <f t="shared" si="5"/>
        <v>5</v>
      </c>
      <c r="H36" s="18">
        <v>5</v>
      </c>
      <c r="I36" s="18">
        <v>0</v>
      </c>
      <c r="J36" s="19">
        <f t="shared" si="2"/>
        <v>292.02</v>
      </c>
      <c r="K36" s="20">
        <v>292.02</v>
      </c>
      <c r="L36" s="20"/>
      <c r="M36" s="21">
        <v>44347.25</v>
      </c>
      <c r="N36" s="22">
        <v>35215.79</v>
      </c>
      <c r="O36" s="21">
        <f t="shared" si="3"/>
        <v>9131.46</v>
      </c>
      <c r="P36" s="23">
        <v>1930</v>
      </c>
      <c r="Q36" s="24" t="s">
        <v>24</v>
      </c>
      <c r="R36" s="24" t="s">
        <v>24</v>
      </c>
      <c r="S36" s="201"/>
      <c r="T36" s="211"/>
      <c r="U36" s="288">
        <v>2710</v>
      </c>
      <c r="V36" s="290">
        <f t="shared" si="6"/>
        <v>791374.2</v>
      </c>
      <c r="W36" s="310"/>
    </row>
    <row r="37" spans="1:23" ht="12.75">
      <c r="A37" s="16">
        <f t="shared" si="0"/>
        <v>29</v>
      </c>
      <c r="B37" s="16">
        <v>3055</v>
      </c>
      <c r="C37" s="16"/>
      <c r="D37" s="17" t="s">
        <v>22</v>
      </c>
      <c r="E37" s="17" t="s">
        <v>38</v>
      </c>
      <c r="F37" s="18">
        <v>9</v>
      </c>
      <c r="G37" s="18">
        <f t="shared" si="5"/>
        <v>4</v>
      </c>
      <c r="H37" s="18">
        <v>4</v>
      </c>
      <c r="I37" s="18">
        <v>0</v>
      </c>
      <c r="J37" s="19">
        <f t="shared" si="2"/>
        <v>158.07</v>
      </c>
      <c r="K37" s="20">
        <f>158.37-0.3</f>
        <v>158.07</v>
      </c>
      <c r="L37" s="20"/>
      <c r="M37" s="21">
        <v>67341.51</v>
      </c>
      <c r="N37" s="22">
        <v>27404.41</v>
      </c>
      <c r="O37" s="21">
        <f t="shared" si="3"/>
        <v>39937.09999999999</v>
      </c>
      <c r="P37" s="23">
        <v>1920</v>
      </c>
      <c r="Q37" s="24" t="s">
        <v>24</v>
      </c>
      <c r="R37" s="24" t="s">
        <v>24</v>
      </c>
      <c r="S37" s="201"/>
      <c r="T37" s="211"/>
      <c r="U37" s="288">
        <v>2710</v>
      </c>
      <c r="V37" s="290">
        <f t="shared" si="6"/>
        <v>428369.69999999995</v>
      </c>
      <c r="W37" s="310"/>
    </row>
    <row r="38" spans="1:23" ht="12.75">
      <c r="A38" s="16">
        <f t="shared" si="0"/>
        <v>30</v>
      </c>
      <c r="B38" s="16">
        <v>3056</v>
      </c>
      <c r="C38" s="16"/>
      <c r="D38" s="17" t="s">
        <v>22</v>
      </c>
      <c r="E38" s="17" t="s">
        <v>38</v>
      </c>
      <c r="F38" s="18">
        <v>10</v>
      </c>
      <c r="G38" s="18">
        <f t="shared" si="5"/>
        <v>7</v>
      </c>
      <c r="H38" s="18">
        <v>7</v>
      </c>
      <c r="I38" s="18">
        <v>0</v>
      </c>
      <c r="J38" s="19">
        <f t="shared" si="2"/>
        <v>426.34</v>
      </c>
      <c r="K38" s="20">
        <v>426.34</v>
      </c>
      <c r="L38" s="20"/>
      <c r="M38" s="21">
        <v>127468.32</v>
      </c>
      <c r="N38" s="22">
        <v>127468.32</v>
      </c>
      <c r="O38" s="21">
        <f t="shared" si="3"/>
        <v>0</v>
      </c>
      <c r="P38" s="23">
        <v>1900</v>
      </c>
      <c r="Q38" s="24" t="s">
        <v>24</v>
      </c>
      <c r="R38" s="24" t="s">
        <v>24</v>
      </c>
      <c r="S38" s="201"/>
      <c r="T38" s="211"/>
      <c r="U38" s="288">
        <v>2710</v>
      </c>
      <c r="V38" s="290">
        <f t="shared" si="6"/>
        <v>1155381.4</v>
      </c>
      <c r="W38" s="310"/>
    </row>
    <row r="39" spans="1:23" ht="12.75">
      <c r="A39" s="16">
        <f t="shared" si="0"/>
        <v>31</v>
      </c>
      <c r="B39" s="16">
        <v>3057</v>
      </c>
      <c r="C39" s="16"/>
      <c r="D39" s="17" t="s">
        <v>22</v>
      </c>
      <c r="E39" s="17" t="s">
        <v>38</v>
      </c>
      <c r="F39" s="18">
        <v>12</v>
      </c>
      <c r="G39" s="18">
        <f t="shared" si="5"/>
        <v>7</v>
      </c>
      <c r="H39" s="18">
        <v>7</v>
      </c>
      <c r="I39" s="18">
        <v>0</v>
      </c>
      <c r="J39" s="19">
        <f t="shared" si="2"/>
        <v>363.64</v>
      </c>
      <c r="K39" s="20">
        <v>363.64</v>
      </c>
      <c r="L39" s="20"/>
      <c r="M39" s="21">
        <v>180065.93</v>
      </c>
      <c r="N39" s="22">
        <v>49488.77</v>
      </c>
      <c r="O39" s="21">
        <f t="shared" si="3"/>
        <v>130577.16</v>
      </c>
      <c r="P39" s="23">
        <v>1895</v>
      </c>
      <c r="Q39" s="24" t="s">
        <v>24</v>
      </c>
      <c r="R39" s="24" t="s">
        <v>24</v>
      </c>
      <c r="S39" s="218" t="s">
        <v>254</v>
      </c>
      <c r="T39" s="211" t="s">
        <v>255</v>
      </c>
      <c r="U39" s="288">
        <v>2710</v>
      </c>
      <c r="V39" s="290">
        <f t="shared" si="6"/>
        <v>985464.3999999999</v>
      </c>
      <c r="W39" s="310"/>
    </row>
    <row r="40" spans="1:23" ht="12.75">
      <c r="A40" s="16">
        <f t="shared" si="0"/>
        <v>32</v>
      </c>
      <c r="B40" s="16">
        <v>1041</v>
      </c>
      <c r="C40" s="16"/>
      <c r="D40" s="17" t="s">
        <v>22</v>
      </c>
      <c r="E40" s="17" t="s">
        <v>38</v>
      </c>
      <c r="F40" s="18" t="s">
        <v>39</v>
      </c>
      <c r="G40" s="18">
        <f t="shared" si="5"/>
        <v>10</v>
      </c>
      <c r="H40" s="18">
        <v>10</v>
      </c>
      <c r="I40" s="18">
        <v>0</v>
      </c>
      <c r="J40" s="19">
        <f aca="true" t="shared" si="7" ref="J40:J71">SUM(K40:L40)</f>
        <v>556.64</v>
      </c>
      <c r="K40" s="20">
        <v>556.64</v>
      </c>
      <c r="L40" s="20"/>
      <c r="M40" s="21">
        <v>287423.96</v>
      </c>
      <c r="N40" s="22">
        <v>225222.49</v>
      </c>
      <c r="O40" s="21">
        <f aca="true" t="shared" si="8" ref="O40:O71">M40-N40</f>
        <v>62201.47000000003</v>
      </c>
      <c r="P40" s="23">
        <v>1906</v>
      </c>
      <c r="Q40" s="24" t="s">
        <v>24</v>
      </c>
      <c r="R40" s="24" t="s">
        <v>24</v>
      </c>
      <c r="S40" s="201"/>
      <c r="T40" s="211"/>
      <c r="U40" s="288">
        <v>2710</v>
      </c>
      <c r="V40" s="290">
        <f t="shared" si="6"/>
        <v>1508494.4</v>
      </c>
      <c r="W40" s="310"/>
    </row>
    <row r="41" spans="1:23" ht="12.75">
      <c r="A41" s="16">
        <f t="shared" si="0"/>
        <v>33</v>
      </c>
      <c r="B41" s="16">
        <v>3061</v>
      </c>
      <c r="C41" s="16"/>
      <c r="D41" s="17" t="s">
        <v>22</v>
      </c>
      <c r="E41" s="17" t="s">
        <v>40</v>
      </c>
      <c r="F41" s="18">
        <v>7</v>
      </c>
      <c r="G41" s="18">
        <f t="shared" si="5"/>
        <v>3</v>
      </c>
      <c r="H41" s="18">
        <v>3</v>
      </c>
      <c r="I41" s="18">
        <v>0</v>
      </c>
      <c r="J41" s="19">
        <f t="shared" si="7"/>
        <v>219.92</v>
      </c>
      <c r="K41" s="20">
        <v>219.92</v>
      </c>
      <c r="L41" s="20"/>
      <c r="M41" s="21">
        <v>66836.81</v>
      </c>
      <c r="N41" s="22">
        <v>66836.81</v>
      </c>
      <c r="O41" s="21">
        <f t="shared" si="8"/>
        <v>0</v>
      </c>
      <c r="P41" s="23">
        <v>1901</v>
      </c>
      <c r="Q41" s="24" t="s">
        <v>24</v>
      </c>
      <c r="R41" s="24" t="s">
        <v>24</v>
      </c>
      <c r="S41" s="201"/>
      <c r="T41" s="211"/>
      <c r="U41" s="288">
        <v>2710</v>
      </c>
      <c r="V41" s="290">
        <f t="shared" si="6"/>
        <v>595983.2</v>
      </c>
      <c r="W41" s="310"/>
    </row>
    <row r="42" spans="1:23" ht="12.75">
      <c r="A42" s="16">
        <f t="shared" si="0"/>
        <v>34</v>
      </c>
      <c r="B42" s="16">
        <v>3072</v>
      </c>
      <c r="C42" s="16"/>
      <c r="D42" s="17" t="s">
        <v>22</v>
      </c>
      <c r="E42" s="17" t="s">
        <v>40</v>
      </c>
      <c r="F42" s="18" t="s">
        <v>41</v>
      </c>
      <c r="G42" s="18">
        <f t="shared" si="5"/>
        <v>7</v>
      </c>
      <c r="H42" s="18">
        <v>7</v>
      </c>
      <c r="I42" s="18">
        <v>0</v>
      </c>
      <c r="J42" s="19">
        <f t="shared" si="7"/>
        <v>269.73</v>
      </c>
      <c r="K42" s="20">
        <v>269.73</v>
      </c>
      <c r="L42" s="20"/>
      <c r="M42" s="21">
        <v>24038.26</v>
      </c>
      <c r="N42" s="22">
        <v>22003.14</v>
      </c>
      <c r="O42" s="21">
        <f t="shared" si="8"/>
        <v>2035.119999999999</v>
      </c>
      <c r="P42" s="23">
        <v>1901</v>
      </c>
      <c r="Q42" s="24" t="s">
        <v>24</v>
      </c>
      <c r="R42" s="24" t="s">
        <v>24</v>
      </c>
      <c r="S42" s="201"/>
      <c r="T42" s="211"/>
      <c r="U42" s="288">
        <v>2710</v>
      </c>
      <c r="V42" s="290">
        <f t="shared" si="6"/>
        <v>730968.3</v>
      </c>
      <c r="W42" s="310"/>
    </row>
    <row r="43" spans="1:23" ht="12.75">
      <c r="A43" s="16">
        <f t="shared" si="0"/>
        <v>35</v>
      </c>
      <c r="B43" s="16">
        <v>3062</v>
      </c>
      <c r="C43" s="16"/>
      <c r="D43" s="17" t="s">
        <v>22</v>
      </c>
      <c r="E43" s="17" t="s">
        <v>40</v>
      </c>
      <c r="F43" s="18">
        <v>8</v>
      </c>
      <c r="G43" s="18">
        <f t="shared" si="5"/>
        <v>4</v>
      </c>
      <c r="H43" s="18">
        <v>4</v>
      </c>
      <c r="I43" s="18">
        <v>0</v>
      </c>
      <c r="J43" s="19">
        <f t="shared" si="7"/>
        <v>172.4</v>
      </c>
      <c r="K43" s="20">
        <f>171.38-1.57+2.59</f>
        <v>172.4</v>
      </c>
      <c r="L43" s="20"/>
      <c r="M43" s="21">
        <v>36055.41</v>
      </c>
      <c r="N43" s="22">
        <v>25638.21</v>
      </c>
      <c r="O43" s="21">
        <f t="shared" si="8"/>
        <v>10417.200000000004</v>
      </c>
      <c r="P43" s="23">
        <v>1915</v>
      </c>
      <c r="Q43" s="24" t="s">
        <v>24</v>
      </c>
      <c r="R43" s="24" t="s">
        <v>24</v>
      </c>
      <c r="S43" s="201"/>
      <c r="T43" s="211"/>
      <c r="U43" s="288">
        <v>2710</v>
      </c>
      <c r="V43" s="290">
        <f t="shared" si="6"/>
        <v>467204</v>
      </c>
      <c r="W43" s="310"/>
    </row>
    <row r="44" spans="1:23" ht="12.75">
      <c r="A44" s="16">
        <f t="shared" si="0"/>
        <v>36</v>
      </c>
      <c r="B44" s="16">
        <v>3063</v>
      </c>
      <c r="C44" s="16"/>
      <c r="D44" s="17" t="s">
        <v>22</v>
      </c>
      <c r="E44" s="17" t="s">
        <v>40</v>
      </c>
      <c r="F44" s="18">
        <v>13</v>
      </c>
      <c r="G44" s="18">
        <f t="shared" si="5"/>
        <v>6</v>
      </c>
      <c r="H44" s="18">
        <v>6</v>
      </c>
      <c r="I44" s="18">
        <v>0</v>
      </c>
      <c r="J44" s="19">
        <f t="shared" si="7"/>
        <v>235.82</v>
      </c>
      <c r="K44" s="20">
        <v>235.82</v>
      </c>
      <c r="L44" s="20"/>
      <c r="M44" s="21">
        <v>78289.17</v>
      </c>
      <c r="N44" s="22">
        <v>66943.91</v>
      </c>
      <c r="O44" s="21">
        <f t="shared" si="8"/>
        <v>11345.259999999995</v>
      </c>
      <c r="P44" s="23">
        <v>1900</v>
      </c>
      <c r="Q44" s="24" t="s">
        <v>24</v>
      </c>
      <c r="R44" s="24" t="s">
        <v>24</v>
      </c>
      <c r="S44" s="201"/>
      <c r="T44" s="211"/>
      <c r="U44" s="288">
        <v>2710</v>
      </c>
      <c r="V44" s="290">
        <f t="shared" si="6"/>
        <v>639072.2</v>
      </c>
      <c r="W44" s="310"/>
    </row>
    <row r="45" spans="1:23" ht="12.75">
      <c r="A45" s="16">
        <f t="shared" si="0"/>
        <v>37</v>
      </c>
      <c r="B45" s="16">
        <v>3064</v>
      </c>
      <c r="C45" s="16"/>
      <c r="D45" s="17" t="s">
        <v>22</v>
      </c>
      <c r="E45" s="17" t="s">
        <v>40</v>
      </c>
      <c r="F45" s="18">
        <v>14</v>
      </c>
      <c r="G45" s="18">
        <f t="shared" si="5"/>
        <v>4</v>
      </c>
      <c r="H45" s="18">
        <v>4</v>
      </c>
      <c r="I45" s="18">
        <v>0</v>
      </c>
      <c r="J45" s="19">
        <f t="shared" si="7"/>
        <v>201.98</v>
      </c>
      <c r="K45" s="20">
        <f>200.98+1</f>
        <v>201.98</v>
      </c>
      <c r="L45" s="20"/>
      <c r="M45" s="21">
        <v>45950.96</v>
      </c>
      <c r="N45" s="22">
        <v>18020.55</v>
      </c>
      <c r="O45" s="21">
        <f t="shared" si="8"/>
        <v>27930.41</v>
      </c>
      <c r="P45" s="23">
        <v>1900</v>
      </c>
      <c r="Q45" s="24" t="s">
        <v>24</v>
      </c>
      <c r="R45" s="24" t="s">
        <v>24</v>
      </c>
      <c r="S45" s="201"/>
      <c r="T45" s="211"/>
      <c r="U45" s="288">
        <v>2710</v>
      </c>
      <c r="V45" s="290">
        <f t="shared" si="6"/>
        <v>547365.7999999999</v>
      </c>
      <c r="W45" s="310"/>
    </row>
    <row r="46" spans="1:23" ht="12.75">
      <c r="A46" s="16">
        <f t="shared" si="0"/>
        <v>38</v>
      </c>
      <c r="B46" s="16">
        <v>3065</v>
      </c>
      <c r="C46" s="16"/>
      <c r="D46" s="17" t="s">
        <v>22</v>
      </c>
      <c r="E46" s="17" t="s">
        <v>40</v>
      </c>
      <c r="F46" s="18">
        <v>16</v>
      </c>
      <c r="G46" s="18">
        <f t="shared" si="5"/>
        <v>4</v>
      </c>
      <c r="H46" s="18">
        <v>4</v>
      </c>
      <c r="I46" s="18">
        <v>0</v>
      </c>
      <c r="J46" s="19">
        <f t="shared" si="7"/>
        <v>266.49</v>
      </c>
      <c r="K46" s="20">
        <v>266.49</v>
      </c>
      <c r="L46" s="20"/>
      <c r="M46" s="21">
        <v>152644.23</v>
      </c>
      <c r="N46" s="22">
        <v>51864.33</v>
      </c>
      <c r="O46" s="21">
        <f t="shared" si="8"/>
        <v>100779.90000000001</v>
      </c>
      <c r="P46" s="23">
        <v>1900</v>
      </c>
      <c r="Q46" s="24" t="s">
        <v>24</v>
      </c>
      <c r="R46" s="24" t="s">
        <v>24</v>
      </c>
      <c r="S46" s="206">
        <v>1998</v>
      </c>
      <c r="T46" s="211"/>
      <c r="U46" s="288">
        <v>2710</v>
      </c>
      <c r="V46" s="290">
        <f t="shared" si="6"/>
        <v>722187.9</v>
      </c>
      <c r="W46" s="310"/>
    </row>
    <row r="47" spans="1:23" ht="12.75">
      <c r="A47" s="220">
        <f t="shared" si="0"/>
        <v>39</v>
      </c>
      <c r="B47" s="29">
        <v>3066</v>
      </c>
      <c r="C47" s="29"/>
      <c r="D47" s="30" t="s">
        <v>22</v>
      </c>
      <c r="E47" s="30" t="s">
        <v>42</v>
      </c>
      <c r="F47" s="31">
        <v>28</v>
      </c>
      <c r="G47" s="31">
        <f t="shared" si="5"/>
        <v>5</v>
      </c>
      <c r="H47" s="31">
        <v>5</v>
      </c>
      <c r="I47" s="31">
        <v>0</v>
      </c>
      <c r="J47" s="19">
        <f t="shared" si="7"/>
        <v>341.28</v>
      </c>
      <c r="K47" s="32">
        <v>341.28</v>
      </c>
      <c r="L47" s="32"/>
      <c r="M47" s="33">
        <v>90643.73</v>
      </c>
      <c r="N47" s="34">
        <v>87867.51</v>
      </c>
      <c r="O47" s="33">
        <f t="shared" si="8"/>
        <v>2776.220000000001</v>
      </c>
      <c r="P47" s="35">
        <v>1902</v>
      </c>
      <c r="Q47" s="36" t="s">
        <v>24</v>
      </c>
      <c r="R47" s="36" t="s">
        <v>24</v>
      </c>
      <c r="S47" s="204"/>
      <c r="T47" s="230"/>
      <c r="U47" s="291"/>
      <c r="V47" s="292"/>
      <c r="W47" s="310" t="s">
        <v>272</v>
      </c>
    </row>
    <row r="48" spans="1:23" ht="12.75">
      <c r="A48" s="16">
        <f t="shared" si="0"/>
        <v>40</v>
      </c>
      <c r="B48" s="16">
        <v>3067</v>
      </c>
      <c r="C48" s="16"/>
      <c r="D48" s="17" t="s">
        <v>22</v>
      </c>
      <c r="E48" s="17" t="s">
        <v>40</v>
      </c>
      <c r="F48" s="18">
        <v>30</v>
      </c>
      <c r="G48" s="18">
        <f t="shared" si="5"/>
        <v>6</v>
      </c>
      <c r="H48" s="18">
        <v>6</v>
      </c>
      <c r="I48" s="18">
        <v>0</v>
      </c>
      <c r="J48" s="19">
        <f t="shared" si="7"/>
        <v>228.64</v>
      </c>
      <c r="K48" s="20">
        <v>228.64</v>
      </c>
      <c r="L48" s="20"/>
      <c r="M48" s="21">
        <v>34105.05</v>
      </c>
      <c r="N48" s="22">
        <v>14166.52</v>
      </c>
      <c r="O48" s="21">
        <f t="shared" si="8"/>
        <v>19938.530000000002</v>
      </c>
      <c r="P48" s="23">
        <v>1902</v>
      </c>
      <c r="Q48" s="24" t="s">
        <v>24</v>
      </c>
      <c r="R48" s="24" t="s">
        <v>24</v>
      </c>
      <c r="S48" s="206">
        <v>1994</v>
      </c>
      <c r="T48" s="211"/>
      <c r="U48" s="288">
        <v>2710</v>
      </c>
      <c r="V48" s="290">
        <f t="shared" si="6"/>
        <v>619614.3999999999</v>
      </c>
      <c r="W48" s="310"/>
    </row>
    <row r="49" spans="1:23" ht="12.75">
      <c r="A49" s="16">
        <f t="shared" si="0"/>
        <v>41</v>
      </c>
      <c r="B49" s="16">
        <v>3068</v>
      </c>
      <c r="C49" s="16"/>
      <c r="D49" s="17" t="s">
        <v>22</v>
      </c>
      <c r="E49" s="17" t="s">
        <v>40</v>
      </c>
      <c r="F49" s="18">
        <v>32</v>
      </c>
      <c r="G49" s="18">
        <f t="shared" si="5"/>
        <v>6</v>
      </c>
      <c r="H49" s="18">
        <v>6</v>
      </c>
      <c r="I49" s="18">
        <v>0</v>
      </c>
      <c r="J49" s="19">
        <f t="shared" si="7"/>
        <v>407.38</v>
      </c>
      <c r="K49" s="20">
        <v>407.38</v>
      </c>
      <c r="L49" s="20"/>
      <c r="M49" s="21">
        <v>99172.71</v>
      </c>
      <c r="N49" s="22">
        <v>78731.5</v>
      </c>
      <c r="O49" s="21">
        <f t="shared" si="8"/>
        <v>20441.210000000006</v>
      </c>
      <c r="P49" s="23">
        <v>1905</v>
      </c>
      <c r="Q49" s="24" t="s">
        <v>24</v>
      </c>
      <c r="R49" s="24" t="s">
        <v>24</v>
      </c>
      <c r="S49" s="201"/>
      <c r="T49" s="211"/>
      <c r="U49" s="288">
        <v>2710</v>
      </c>
      <c r="V49" s="290">
        <f t="shared" si="6"/>
        <v>1103999.8</v>
      </c>
      <c r="W49" s="310"/>
    </row>
    <row r="50" spans="1:23" ht="12.75">
      <c r="A50" s="16">
        <f t="shared" si="0"/>
        <v>42</v>
      </c>
      <c r="B50" s="16">
        <v>3069</v>
      </c>
      <c r="C50" s="16"/>
      <c r="D50" s="17" t="s">
        <v>22</v>
      </c>
      <c r="E50" s="17" t="s">
        <v>40</v>
      </c>
      <c r="F50" s="18">
        <v>40</v>
      </c>
      <c r="G50" s="18">
        <f t="shared" si="5"/>
        <v>6</v>
      </c>
      <c r="H50" s="18">
        <v>6</v>
      </c>
      <c r="I50" s="18">
        <v>0</v>
      </c>
      <c r="J50" s="19">
        <f t="shared" si="7"/>
        <v>265.6</v>
      </c>
      <c r="K50" s="20">
        <v>265.6</v>
      </c>
      <c r="L50" s="20"/>
      <c r="M50" s="21">
        <v>76546.87</v>
      </c>
      <c r="N50" s="22">
        <v>48300.9</v>
      </c>
      <c r="O50" s="21">
        <f t="shared" si="8"/>
        <v>28245.969999999994</v>
      </c>
      <c r="P50" s="23">
        <v>1905</v>
      </c>
      <c r="Q50" s="24" t="s">
        <v>24</v>
      </c>
      <c r="R50" s="24" t="s">
        <v>24</v>
      </c>
      <c r="S50" s="201"/>
      <c r="T50" s="211"/>
      <c r="U50" s="288">
        <v>2710</v>
      </c>
      <c r="V50" s="290">
        <f t="shared" si="6"/>
        <v>719776.0000000001</v>
      </c>
      <c r="W50" s="310"/>
    </row>
    <row r="51" spans="1:23" ht="12.75">
      <c r="A51" s="16">
        <f t="shared" si="0"/>
        <v>43</v>
      </c>
      <c r="B51" s="16">
        <v>3070</v>
      </c>
      <c r="C51" s="16"/>
      <c r="D51" s="17" t="s">
        <v>22</v>
      </c>
      <c r="E51" s="17" t="s">
        <v>40</v>
      </c>
      <c r="F51" s="18">
        <v>41</v>
      </c>
      <c r="G51" s="18">
        <f t="shared" si="5"/>
        <v>4</v>
      </c>
      <c r="H51" s="18">
        <v>4</v>
      </c>
      <c r="I51" s="18">
        <v>0</v>
      </c>
      <c r="J51" s="19">
        <f t="shared" si="7"/>
        <v>161.67</v>
      </c>
      <c r="K51" s="20">
        <v>161.67</v>
      </c>
      <c r="L51" s="20"/>
      <c r="M51" s="21">
        <v>48378.54</v>
      </c>
      <c r="N51" s="22">
        <v>40771.63</v>
      </c>
      <c r="O51" s="21">
        <f t="shared" si="8"/>
        <v>7606.9100000000035</v>
      </c>
      <c r="P51" s="23">
        <v>1905</v>
      </c>
      <c r="Q51" s="24" t="s">
        <v>24</v>
      </c>
      <c r="R51" s="24" t="s">
        <v>24</v>
      </c>
      <c r="S51" s="201"/>
      <c r="T51" s="211"/>
      <c r="U51" s="288">
        <v>2710</v>
      </c>
      <c r="V51" s="290">
        <f t="shared" si="6"/>
        <v>438125.69999999995</v>
      </c>
      <c r="W51" s="310"/>
    </row>
    <row r="52" spans="1:23" ht="12.75">
      <c r="A52" s="16">
        <f t="shared" si="0"/>
        <v>44</v>
      </c>
      <c r="B52" s="16">
        <v>3071</v>
      </c>
      <c r="C52" s="16"/>
      <c r="D52" s="17" t="s">
        <v>22</v>
      </c>
      <c r="E52" s="17" t="s">
        <v>40</v>
      </c>
      <c r="F52" s="18">
        <v>47</v>
      </c>
      <c r="G52" s="18">
        <f t="shared" si="5"/>
        <v>4</v>
      </c>
      <c r="H52" s="18">
        <v>4</v>
      </c>
      <c r="I52" s="18">
        <v>0</v>
      </c>
      <c r="J52" s="19">
        <f t="shared" si="7"/>
        <v>218.9</v>
      </c>
      <c r="K52" s="20">
        <v>218.9</v>
      </c>
      <c r="L52" s="20"/>
      <c r="M52" s="21">
        <v>45703.9</v>
      </c>
      <c r="N52" s="22">
        <v>13244.08</v>
      </c>
      <c r="O52" s="21">
        <f t="shared" si="8"/>
        <v>32459.82</v>
      </c>
      <c r="P52" s="23">
        <v>1905</v>
      </c>
      <c r="Q52" s="24" t="s">
        <v>24</v>
      </c>
      <c r="R52" s="24" t="s">
        <v>24</v>
      </c>
      <c r="S52" s="206">
        <v>1993</v>
      </c>
      <c r="T52" s="211"/>
      <c r="U52" s="288">
        <v>2710</v>
      </c>
      <c r="V52" s="290">
        <f t="shared" si="6"/>
        <v>593219</v>
      </c>
      <c r="W52" s="310"/>
    </row>
    <row r="53" spans="1:23" ht="12.75">
      <c r="A53" s="16">
        <f t="shared" si="0"/>
        <v>45</v>
      </c>
      <c r="B53" s="16">
        <v>3079</v>
      </c>
      <c r="C53" s="16"/>
      <c r="D53" s="17" t="s">
        <v>22</v>
      </c>
      <c r="E53" s="17" t="s">
        <v>43</v>
      </c>
      <c r="F53" s="18">
        <v>19</v>
      </c>
      <c r="G53" s="18">
        <f t="shared" si="5"/>
        <v>3</v>
      </c>
      <c r="H53" s="18">
        <v>3</v>
      </c>
      <c r="I53" s="18">
        <v>0</v>
      </c>
      <c r="J53" s="19">
        <f t="shared" si="7"/>
        <v>176.94</v>
      </c>
      <c r="K53" s="20">
        <v>176.94</v>
      </c>
      <c r="L53" s="20"/>
      <c r="M53" s="21">
        <v>109885.26</v>
      </c>
      <c r="N53" s="22">
        <v>17321.23</v>
      </c>
      <c r="O53" s="21">
        <f t="shared" si="8"/>
        <v>92564.03</v>
      </c>
      <c r="P53" s="23">
        <v>1928</v>
      </c>
      <c r="Q53" s="24" t="s">
        <v>24</v>
      </c>
      <c r="R53" s="24" t="s">
        <v>24</v>
      </c>
      <c r="S53" s="201"/>
      <c r="T53" s="211"/>
      <c r="U53" s="288">
        <v>2710</v>
      </c>
      <c r="V53" s="290">
        <f t="shared" si="6"/>
        <v>479507.39999999997</v>
      </c>
      <c r="W53" s="310"/>
    </row>
    <row r="54" spans="1:23" ht="12.75">
      <c r="A54" s="16">
        <f t="shared" si="0"/>
        <v>46</v>
      </c>
      <c r="B54" s="16">
        <v>3081</v>
      </c>
      <c r="C54" s="16"/>
      <c r="D54" s="17" t="s">
        <v>22</v>
      </c>
      <c r="E54" s="17" t="s">
        <v>44</v>
      </c>
      <c r="F54" s="18">
        <v>1</v>
      </c>
      <c r="G54" s="18">
        <f aca="true" t="shared" si="9" ref="G54:G85">SUM(H54:I54)</f>
        <v>5</v>
      </c>
      <c r="H54" s="18">
        <v>5</v>
      </c>
      <c r="I54" s="18">
        <v>0</v>
      </c>
      <c r="J54" s="19">
        <f t="shared" si="7"/>
        <v>171.68</v>
      </c>
      <c r="K54" s="20">
        <v>171.68</v>
      </c>
      <c r="L54" s="20"/>
      <c r="M54" s="21">
        <v>29363.67</v>
      </c>
      <c r="N54" s="22">
        <v>21196.04</v>
      </c>
      <c r="O54" s="21">
        <f t="shared" si="8"/>
        <v>8167.629999999997</v>
      </c>
      <c r="P54" s="23">
        <v>1910</v>
      </c>
      <c r="Q54" s="24" t="s">
        <v>24</v>
      </c>
      <c r="R54" s="24" t="s">
        <v>24</v>
      </c>
      <c r="S54" s="201"/>
      <c r="T54" s="211"/>
      <c r="U54" s="288">
        <v>2710</v>
      </c>
      <c r="V54" s="290">
        <f t="shared" si="6"/>
        <v>465252.80000000005</v>
      </c>
      <c r="W54" s="310"/>
    </row>
    <row r="55" spans="1:23" ht="12.75">
      <c r="A55" s="16">
        <f t="shared" si="0"/>
        <v>47</v>
      </c>
      <c r="B55" s="16">
        <v>3197</v>
      </c>
      <c r="C55" s="16"/>
      <c r="D55" s="17" t="s">
        <v>22</v>
      </c>
      <c r="E55" s="17" t="s">
        <v>45</v>
      </c>
      <c r="F55" s="18">
        <v>1</v>
      </c>
      <c r="G55" s="18">
        <f t="shared" si="9"/>
        <v>7</v>
      </c>
      <c r="H55" s="18">
        <f>8-1</f>
        <v>7</v>
      </c>
      <c r="I55" s="18">
        <v>0</v>
      </c>
      <c r="J55" s="19">
        <f t="shared" si="7"/>
        <v>354.06</v>
      </c>
      <c r="K55" s="20">
        <v>354.06</v>
      </c>
      <c r="L55" s="20"/>
      <c r="M55" s="21">
        <v>77660.1</v>
      </c>
      <c r="N55" s="22">
        <v>19409.71</v>
      </c>
      <c r="O55" s="21">
        <f t="shared" si="8"/>
        <v>58250.39000000001</v>
      </c>
      <c r="P55" s="23">
        <v>1900</v>
      </c>
      <c r="Q55" s="24" t="s">
        <v>24</v>
      </c>
      <c r="R55" s="24" t="s">
        <v>24</v>
      </c>
      <c r="S55" s="201"/>
      <c r="T55" s="211"/>
      <c r="U55" s="288">
        <v>2710</v>
      </c>
      <c r="V55" s="290">
        <f t="shared" si="6"/>
        <v>959502.6</v>
      </c>
      <c r="W55" s="310"/>
    </row>
    <row r="56" spans="1:23" ht="12.75">
      <c r="A56" s="16">
        <f t="shared" si="0"/>
        <v>48</v>
      </c>
      <c r="B56" s="16">
        <v>3086</v>
      </c>
      <c r="C56" s="16"/>
      <c r="D56" s="17" t="s">
        <v>22</v>
      </c>
      <c r="E56" s="17" t="s">
        <v>45</v>
      </c>
      <c r="F56" s="18">
        <v>6</v>
      </c>
      <c r="G56" s="18">
        <f t="shared" si="9"/>
        <v>8</v>
      </c>
      <c r="H56" s="18">
        <v>8</v>
      </c>
      <c r="I56" s="18">
        <v>0</v>
      </c>
      <c r="J56" s="19">
        <f t="shared" si="7"/>
        <v>375.23</v>
      </c>
      <c r="K56" s="20">
        <v>375.23</v>
      </c>
      <c r="L56" s="20"/>
      <c r="M56" s="21">
        <v>57834.87</v>
      </c>
      <c r="N56" s="22">
        <v>13811.81</v>
      </c>
      <c r="O56" s="21">
        <f t="shared" si="8"/>
        <v>44023.060000000005</v>
      </c>
      <c r="P56" s="23">
        <v>1925</v>
      </c>
      <c r="Q56" s="24" t="s">
        <v>24</v>
      </c>
      <c r="R56" s="24" t="s">
        <v>24</v>
      </c>
      <c r="S56" s="218" t="s">
        <v>254</v>
      </c>
      <c r="T56" s="211" t="s">
        <v>255</v>
      </c>
      <c r="U56" s="288">
        <v>2710</v>
      </c>
      <c r="V56" s="290">
        <f t="shared" si="6"/>
        <v>1016873.3</v>
      </c>
      <c r="W56" s="310"/>
    </row>
    <row r="57" spans="1:23" ht="12.75">
      <c r="A57" s="16">
        <f t="shared" si="0"/>
        <v>49</v>
      </c>
      <c r="B57" s="16">
        <v>3087</v>
      </c>
      <c r="C57" s="16"/>
      <c r="D57" s="17" t="s">
        <v>22</v>
      </c>
      <c r="E57" s="17" t="s">
        <v>45</v>
      </c>
      <c r="F57" s="18">
        <v>43</v>
      </c>
      <c r="G57" s="18">
        <f t="shared" si="9"/>
        <v>3</v>
      </c>
      <c r="H57" s="18">
        <v>3</v>
      </c>
      <c r="I57" s="18">
        <v>0</v>
      </c>
      <c r="J57" s="19">
        <f t="shared" si="7"/>
        <v>141.39</v>
      </c>
      <c r="K57" s="20">
        <v>141.39</v>
      </c>
      <c r="L57" s="20"/>
      <c r="M57" s="21">
        <v>41573.9</v>
      </c>
      <c r="N57" s="22">
        <v>13304.45</v>
      </c>
      <c r="O57" s="21">
        <f t="shared" si="8"/>
        <v>28269.45</v>
      </c>
      <c r="P57" s="23">
        <v>1972</v>
      </c>
      <c r="Q57" s="24"/>
      <c r="R57" s="24"/>
      <c r="S57" s="201"/>
      <c r="T57" s="211"/>
      <c r="U57" s="288">
        <v>2710</v>
      </c>
      <c r="V57" s="290">
        <f t="shared" si="6"/>
        <v>383166.89999999997</v>
      </c>
      <c r="W57" s="310"/>
    </row>
    <row r="58" spans="1:23" ht="12.75">
      <c r="A58" s="16">
        <f t="shared" si="0"/>
        <v>50</v>
      </c>
      <c r="B58" s="16">
        <v>3088</v>
      </c>
      <c r="C58" s="16"/>
      <c r="D58" s="17" t="s">
        <v>22</v>
      </c>
      <c r="E58" s="17" t="s">
        <v>45</v>
      </c>
      <c r="F58" s="18" t="s">
        <v>46</v>
      </c>
      <c r="G58" s="18">
        <f t="shared" si="9"/>
        <v>6</v>
      </c>
      <c r="H58" s="18">
        <v>5</v>
      </c>
      <c r="I58" s="18">
        <v>1</v>
      </c>
      <c r="J58" s="19">
        <f t="shared" si="7"/>
        <v>282.81</v>
      </c>
      <c r="K58" s="20">
        <v>235.68</v>
      </c>
      <c r="L58" s="20">
        <v>47.13</v>
      </c>
      <c r="M58" s="21">
        <v>54365.77</v>
      </c>
      <c r="N58" s="22">
        <v>13791.21</v>
      </c>
      <c r="O58" s="21">
        <f t="shared" si="8"/>
        <v>40574.56</v>
      </c>
      <c r="P58" s="23">
        <v>1972</v>
      </c>
      <c r="Q58" s="24"/>
      <c r="R58" s="24"/>
      <c r="S58" s="201"/>
      <c r="T58" s="211"/>
      <c r="U58" s="288">
        <v>2710</v>
      </c>
      <c r="V58" s="290">
        <f t="shared" si="6"/>
        <v>766415.1</v>
      </c>
      <c r="W58" s="310"/>
    </row>
    <row r="59" spans="1:23" ht="12.75">
      <c r="A59" s="16">
        <f t="shared" si="0"/>
        <v>51</v>
      </c>
      <c r="B59" s="16">
        <v>1064</v>
      </c>
      <c r="C59" s="16"/>
      <c r="D59" s="17" t="s">
        <v>22</v>
      </c>
      <c r="E59" s="17" t="s">
        <v>47</v>
      </c>
      <c r="F59" s="18">
        <v>12</v>
      </c>
      <c r="G59" s="18">
        <f t="shared" si="9"/>
        <v>19</v>
      </c>
      <c r="H59" s="18">
        <v>19</v>
      </c>
      <c r="I59" s="18">
        <v>0</v>
      </c>
      <c r="J59" s="19">
        <f t="shared" si="7"/>
        <v>877.47</v>
      </c>
      <c r="K59" s="20">
        <v>877.47</v>
      </c>
      <c r="L59" s="20"/>
      <c r="M59" s="21">
        <v>426666</v>
      </c>
      <c r="N59" s="22">
        <v>317784.96</v>
      </c>
      <c r="O59" s="21">
        <f t="shared" si="8"/>
        <v>108881.03999999998</v>
      </c>
      <c r="P59" s="23">
        <v>1980</v>
      </c>
      <c r="Q59" s="24"/>
      <c r="R59" s="24"/>
      <c r="S59" s="201"/>
      <c r="T59" s="211"/>
      <c r="U59" s="288">
        <v>2710</v>
      </c>
      <c r="V59" s="290">
        <f t="shared" si="6"/>
        <v>2377943.7</v>
      </c>
      <c r="W59" s="310"/>
    </row>
    <row r="60" spans="1:23" ht="12.75">
      <c r="A60" s="16">
        <f t="shared" si="0"/>
        <v>52</v>
      </c>
      <c r="B60" s="16">
        <v>1062</v>
      </c>
      <c r="C60" s="16"/>
      <c r="D60" s="17" t="s">
        <v>22</v>
      </c>
      <c r="E60" s="41" t="s">
        <v>48</v>
      </c>
      <c r="F60" s="18" t="s">
        <v>49</v>
      </c>
      <c r="G60" s="18">
        <f t="shared" si="9"/>
        <v>16</v>
      </c>
      <c r="H60" s="18">
        <v>16</v>
      </c>
      <c r="I60" s="18">
        <v>0</v>
      </c>
      <c r="J60" s="19">
        <f t="shared" si="7"/>
        <v>664.9000000000001</v>
      </c>
      <c r="K60" s="20">
        <f>713.46-48.56</f>
        <v>664.9000000000001</v>
      </c>
      <c r="L60" s="20"/>
      <c r="M60" s="21">
        <v>2209091.12</v>
      </c>
      <c r="N60" s="22">
        <v>287227.57</v>
      </c>
      <c r="O60" s="21">
        <f t="shared" si="8"/>
        <v>1921863.55</v>
      </c>
      <c r="P60" s="23">
        <v>1980</v>
      </c>
      <c r="Q60" s="24"/>
      <c r="R60" s="24"/>
      <c r="S60" s="201"/>
      <c r="T60" s="211"/>
      <c r="U60" s="288">
        <v>2710</v>
      </c>
      <c r="V60" s="290">
        <f t="shared" si="6"/>
        <v>1801879.0000000002</v>
      </c>
      <c r="W60" s="310"/>
    </row>
    <row r="61" spans="1:23" ht="12.75">
      <c r="A61" s="16">
        <f t="shared" si="0"/>
        <v>53</v>
      </c>
      <c r="B61" s="16">
        <v>1063</v>
      </c>
      <c r="C61" s="16"/>
      <c r="D61" s="17" t="s">
        <v>22</v>
      </c>
      <c r="E61" s="17" t="s">
        <v>48</v>
      </c>
      <c r="F61" s="18" t="s">
        <v>50</v>
      </c>
      <c r="G61" s="18">
        <f t="shared" si="9"/>
        <v>16</v>
      </c>
      <c r="H61" s="18">
        <f>24-8</f>
        <v>16</v>
      </c>
      <c r="I61" s="18">
        <v>0</v>
      </c>
      <c r="J61" s="19">
        <f t="shared" si="7"/>
        <v>664.9</v>
      </c>
      <c r="K61" s="20">
        <f>694.77-29.87</f>
        <v>664.9</v>
      </c>
      <c r="L61" s="20"/>
      <c r="M61" s="21">
        <v>2180339.34</v>
      </c>
      <c r="N61" s="22">
        <v>280183.65</v>
      </c>
      <c r="O61" s="21">
        <f t="shared" si="8"/>
        <v>1900155.69</v>
      </c>
      <c r="P61" s="23">
        <v>1980</v>
      </c>
      <c r="Q61" s="24"/>
      <c r="R61" s="24"/>
      <c r="S61" s="201"/>
      <c r="T61" s="211"/>
      <c r="U61" s="288">
        <v>2710</v>
      </c>
      <c r="V61" s="290">
        <f t="shared" si="6"/>
        <v>1801879</v>
      </c>
      <c r="W61" s="310"/>
    </row>
    <row r="62" spans="1:23" ht="12.75">
      <c r="A62" s="220">
        <f t="shared" si="0"/>
        <v>54</v>
      </c>
      <c r="B62" s="220">
        <v>3196</v>
      </c>
      <c r="C62" s="220"/>
      <c r="D62" s="221" t="s">
        <v>22</v>
      </c>
      <c r="E62" s="231" t="s">
        <v>252</v>
      </c>
      <c r="F62" s="222" t="s">
        <v>51</v>
      </c>
      <c r="G62" s="222">
        <f t="shared" si="9"/>
        <v>12</v>
      </c>
      <c r="H62" s="222">
        <f>11+1</f>
        <v>12</v>
      </c>
      <c r="I62" s="222">
        <v>0</v>
      </c>
      <c r="J62" s="223">
        <f t="shared" si="7"/>
        <v>396.02</v>
      </c>
      <c r="K62" s="224">
        <f>381.2+14.82</f>
        <v>396.02</v>
      </c>
      <c r="L62" s="224"/>
      <c r="M62" s="225">
        <v>47470.36</v>
      </c>
      <c r="N62" s="226">
        <v>9435.03</v>
      </c>
      <c r="O62" s="225">
        <f t="shared" si="8"/>
        <v>38035.33</v>
      </c>
      <c r="P62" s="227">
        <v>1980</v>
      </c>
      <c r="Q62" s="228"/>
      <c r="R62" s="228"/>
      <c r="S62" s="229"/>
      <c r="T62" s="230"/>
      <c r="U62" s="291"/>
      <c r="V62" s="292">
        <f t="shared" si="6"/>
        <v>0</v>
      </c>
      <c r="W62" s="310" t="s">
        <v>272</v>
      </c>
    </row>
    <row r="63" spans="1:23" ht="12.75">
      <c r="A63" s="16">
        <f t="shared" si="0"/>
        <v>55</v>
      </c>
      <c r="B63" s="16">
        <v>3210</v>
      </c>
      <c r="C63" s="16"/>
      <c r="D63" s="17" t="s">
        <v>22</v>
      </c>
      <c r="E63" s="17" t="s">
        <v>48</v>
      </c>
      <c r="F63" s="18" t="s">
        <v>52</v>
      </c>
      <c r="G63" s="18">
        <f t="shared" si="9"/>
        <v>16</v>
      </c>
      <c r="H63" s="18">
        <v>16</v>
      </c>
      <c r="I63" s="18">
        <v>0</v>
      </c>
      <c r="J63" s="19">
        <f t="shared" si="7"/>
        <v>308.76</v>
      </c>
      <c r="K63" s="20">
        <v>308.76</v>
      </c>
      <c r="L63" s="20"/>
      <c r="M63" s="21">
        <v>145316.25</v>
      </c>
      <c r="N63" s="22">
        <v>145316.25</v>
      </c>
      <c r="O63" s="21">
        <f t="shared" si="8"/>
        <v>0</v>
      </c>
      <c r="P63" s="23">
        <v>1980</v>
      </c>
      <c r="Q63" s="24" t="s">
        <v>24</v>
      </c>
      <c r="R63" s="24" t="s">
        <v>24</v>
      </c>
      <c r="S63" s="201"/>
      <c r="T63" s="211"/>
      <c r="U63" s="288">
        <v>2710</v>
      </c>
      <c r="V63" s="290">
        <f t="shared" si="6"/>
        <v>836739.6</v>
      </c>
      <c r="W63" s="310"/>
    </row>
    <row r="64" spans="1:23" ht="12.75">
      <c r="A64" s="191">
        <f t="shared" si="0"/>
        <v>56</v>
      </c>
      <c r="B64" s="191">
        <v>1082</v>
      </c>
      <c r="C64" s="191"/>
      <c r="D64" s="192" t="s">
        <v>22</v>
      </c>
      <c r="E64" s="192" t="s">
        <v>53</v>
      </c>
      <c r="F64" s="193">
        <v>10</v>
      </c>
      <c r="G64" s="193">
        <f t="shared" si="9"/>
        <v>5</v>
      </c>
      <c r="H64" s="193">
        <v>5</v>
      </c>
      <c r="I64" s="193">
        <v>0</v>
      </c>
      <c r="J64" s="194">
        <f t="shared" si="7"/>
        <v>378.16</v>
      </c>
      <c r="K64" s="195">
        <v>378.16</v>
      </c>
      <c r="L64" s="195"/>
      <c r="M64" s="196">
        <v>109135.31</v>
      </c>
      <c r="N64" s="197">
        <v>77883.16</v>
      </c>
      <c r="O64" s="196">
        <f t="shared" si="8"/>
        <v>31252.149999999994</v>
      </c>
      <c r="P64" s="198">
        <v>1935</v>
      </c>
      <c r="Q64" s="199" t="s">
        <v>24</v>
      </c>
      <c r="R64" s="199" t="s">
        <v>24</v>
      </c>
      <c r="S64" s="203"/>
      <c r="T64" s="211"/>
      <c r="U64" s="288">
        <v>2710</v>
      </c>
      <c r="V64" s="290">
        <f t="shared" si="6"/>
        <v>1024813.6000000001</v>
      </c>
      <c r="W64" s="310"/>
    </row>
    <row r="65" spans="1:23" ht="12.75">
      <c r="A65" s="16">
        <f t="shared" si="0"/>
        <v>57</v>
      </c>
      <c r="B65" s="16">
        <v>1078</v>
      </c>
      <c r="C65" s="16"/>
      <c r="D65" s="17" t="s">
        <v>22</v>
      </c>
      <c r="E65" s="17" t="s">
        <v>54</v>
      </c>
      <c r="F65" s="18">
        <v>18</v>
      </c>
      <c r="G65" s="18">
        <f t="shared" si="9"/>
        <v>6</v>
      </c>
      <c r="H65" s="18">
        <v>6</v>
      </c>
      <c r="I65" s="18">
        <v>0</v>
      </c>
      <c r="J65" s="19">
        <f t="shared" si="7"/>
        <v>375.19</v>
      </c>
      <c r="K65" s="20">
        <v>375.19</v>
      </c>
      <c r="L65" s="20"/>
      <c r="M65" s="21">
        <v>103637.33</v>
      </c>
      <c r="N65" s="22">
        <v>77584.42</v>
      </c>
      <c r="O65" s="21">
        <f t="shared" si="8"/>
        <v>26052.910000000003</v>
      </c>
      <c r="P65" s="23">
        <v>1935</v>
      </c>
      <c r="Q65" s="24" t="s">
        <v>24</v>
      </c>
      <c r="R65" s="24" t="s">
        <v>24</v>
      </c>
      <c r="S65" s="201"/>
      <c r="T65" s="211"/>
      <c r="U65" s="288">
        <v>2710</v>
      </c>
      <c r="V65" s="290">
        <f t="shared" si="6"/>
        <v>1016764.9</v>
      </c>
      <c r="W65" s="310"/>
    </row>
    <row r="66" spans="1:23" ht="12.75">
      <c r="A66" s="16">
        <f t="shared" si="0"/>
        <v>58</v>
      </c>
      <c r="B66" s="42">
        <v>3090</v>
      </c>
      <c r="C66" s="42"/>
      <c r="D66" s="43" t="s">
        <v>22</v>
      </c>
      <c r="E66" s="43" t="s">
        <v>55</v>
      </c>
      <c r="F66" s="44">
        <v>2</v>
      </c>
      <c r="G66" s="18">
        <f t="shared" si="9"/>
        <v>5</v>
      </c>
      <c r="H66" s="18">
        <v>5</v>
      </c>
      <c r="I66" s="18">
        <v>0</v>
      </c>
      <c r="J66" s="19">
        <f t="shared" si="7"/>
        <v>227.69</v>
      </c>
      <c r="K66" s="45">
        <v>227.69</v>
      </c>
      <c r="L66" s="45"/>
      <c r="M66" s="21">
        <v>65436.07</v>
      </c>
      <c r="N66" s="22">
        <v>42580.84</v>
      </c>
      <c r="O66" s="21">
        <f t="shared" si="8"/>
        <v>22855.230000000003</v>
      </c>
      <c r="P66" s="23">
        <v>1905</v>
      </c>
      <c r="Q66" s="24" t="s">
        <v>24</v>
      </c>
      <c r="R66" s="24" t="s">
        <v>24</v>
      </c>
      <c r="S66" s="201"/>
      <c r="T66" s="211"/>
      <c r="U66" s="288">
        <v>2710</v>
      </c>
      <c r="V66" s="290">
        <f t="shared" si="6"/>
        <v>617039.9</v>
      </c>
      <c r="W66" s="310"/>
    </row>
    <row r="67" spans="1:23" ht="12.75">
      <c r="A67" s="16">
        <f t="shared" si="0"/>
        <v>59</v>
      </c>
      <c r="B67" s="42">
        <v>3101</v>
      </c>
      <c r="C67" s="42"/>
      <c r="D67" s="43" t="s">
        <v>22</v>
      </c>
      <c r="E67" s="43" t="s">
        <v>55</v>
      </c>
      <c r="F67" s="44">
        <v>4</v>
      </c>
      <c r="G67" s="18">
        <f t="shared" si="9"/>
        <v>8</v>
      </c>
      <c r="H67" s="18">
        <v>8</v>
      </c>
      <c r="I67" s="18">
        <v>0</v>
      </c>
      <c r="J67" s="19">
        <f t="shared" si="7"/>
        <v>320.95</v>
      </c>
      <c r="K67" s="45">
        <v>320.95</v>
      </c>
      <c r="L67" s="45"/>
      <c r="M67" s="21">
        <v>48211.92</v>
      </c>
      <c r="N67" s="22">
        <v>14461.83</v>
      </c>
      <c r="O67" s="21">
        <f t="shared" si="8"/>
        <v>33750.09</v>
      </c>
      <c r="P67" s="23">
        <v>1925</v>
      </c>
      <c r="Q67" s="24" t="s">
        <v>24</v>
      </c>
      <c r="R67" s="24" t="s">
        <v>24</v>
      </c>
      <c r="S67" s="201"/>
      <c r="T67" s="211"/>
      <c r="U67" s="288">
        <v>2710</v>
      </c>
      <c r="V67" s="290">
        <f t="shared" si="6"/>
        <v>869774.5</v>
      </c>
      <c r="W67" s="310"/>
    </row>
    <row r="68" spans="1:23" ht="12.75">
      <c r="A68" s="16">
        <f t="shared" si="0"/>
        <v>60</v>
      </c>
      <c r="B68" s="42">
        <v>3091</v>
      </c>
      <c r="C68" s="42"/>
      <c r="D68" s="43" t="s">
        <v>22</v>
      </c>
      <c r="E68" s="43" t="s">
        <v>55</v>
      </c>
      <c r="F68" s="44">
        <v>5</v>
      </c>
      <c r="G68" s="18">
        <f t="shared" si="9"/>
        <v>5</v>
      </c>
      <c r="H68" s="18">
        <v>5</v>
      </c>
      <c r="I68" s="18">
        <v>0</v>
      </c>
      <c r="J68" s="19">
        <f t="shared" si="7"/>
        <v>317.53</v>
      </c>
      <c r="K68" s="45">
        <v>317.53</v>
      </c>
      <c r="L68" s="45"/>
      <c r="M68" s="21">
        <v>123227.32</v>
      </c>
      <c r="N68" s="22">
        <v>63575.55</v>
      </c>
      <c r="O68" s="21">
        <f t="shared" si="8"/>
        <v>59651.770000000004</v>
      </c>
      <c r="P68" s="23">
        <v>1890</v>
      </c>
      <c r="Q68" s="24" t="s">
        <v>24</v>
      </c>
      <c r="R68" s="24" t="s">
        <v>24</v>
      </c>
      <c r="S68" s="201"/>
      <c r="T68" s="211"/>
      <c r="U68" s="288">
        <v>2710</v>
      </c>
      <c r="V68" s="290">
        <f t="shared" si="6"/>
        <v>860506.2999999999</v>
      </c>
      <c r="W68" s="310"/>
    </row>
    <row r="69" spans="1:23" ht="12.75">
      <c r="A69" s="16">
        <f t="shared" si="0"/>
        <v>61</v>
      </c>
      <c r="B69" s="16">
        <v>3126</v>
      </c>
      <c r="C69" s="16"/>
      <c r="D69" s="17" t="s">
        <v>22</v>
      </c>
      <c r="E69" s="17" t="s">
        <v>56</v>
      </c>
      <c r="F69" s="18">
        <v>1</v>
      </c>
      <c r="G69" s="18">
        <f t="shared" si="9"/>
        <v>1</v>
      </c>
      <c r="H69" s="18">
        <v>1</v>
      </c>
      <c r="I69" s="18">
        <v>0</v>
      </c>
      <c r="J69" s="19">
        <f t="shared" si="7"/>
        <v>102.9</v>
      </c>
      <c r="K69" s="20">
        <v>102.9</v>
      </c>
      <c r="L69" s="20"/>
      <c r="M69" s="21">
        <v>115199.09</v>
      </c>
      <c r="N69" s="22">
        <v>115199.09</v>
      </c>
      <c r="O69" s="21">
        <f t="shared" si="8"/>
        <v>0</v>
      </c>
      <c r="P69" s="23">
        <v>1890</v>
      </c>
      <c r="Q69" s="24" t="s">
        <v>24</v>
      </c>
      <c r="R69" s="24" t="s">
        <v>24</v>
      </c>
      <c r="S69" s="201"/>
      <c r="T69" s="211"/>
      <c r="U69" s="288">
        <v>2710</v>
      </c>
      <c r="V69" s="290">
        <f t="shared" si="6"/>
        <v>278859</v>
      </c>
      <c r="W69" s="310"/>
    </row>
    <row r="70" spans="1:23" ht="12.75">
      <c r="A70" s="16">
        <f t="shared" si="0"/>
        <v>62</v>
      </c>
      <c r="B70" s="16">
        <v>3106</v>
      </c>
      <c r="C70" s="16"/>
      <c r="D70" s="17" t="s">
        <v>22</v>
      </c>
      <c r="E70" s="17" t="s">
        <v>57</v>
      </c>
      <c r="F70" s="18">
        <v>3</v>
      </c>
      <c r="G70" s="18">
        <f t="shared" si="9"/>
        <v>2</v>
      </c>
      <c r="H70" s="18">
        <v>2</v>
      </c>
      <c r="I70" s="18">
        <v>0</v>
      </c>
      <c r="J70" s="19">
        <f t="shared" si="7"/>
        <v>151.09</v>
      </c>
      <c r="K70" s="20">
        <v>151.09</v>
      </c>
      <c r="L70" s="20"/>
      <c r="M70" s="21">
        <v>24734.76</v>
      </c>
      <c r="N70" s="22">
        <v>11842.13</v>
      </c>
      <c r="O70" s="21">
        <f t="shared" si="8"/>
        <v>12892.63</v>
      </c>
      <c r="P70" s="23">
        <v>1930</v>
      </c>
      <c r="Q70" s="24" t="s">
        <v>24</v>
      </c>
      <c r="R70" s="24" t="s">
        <v>24</v>
      </c>
      <c r="S70" s="201"/>
      <c r="T70" s="211"/>
      <c r="U70" s="288">
        <v>2710</v>
      </c>
      <c r="V70" s="290">
        <f t="shared" si="6"/>
        <v>409453.9</v>
      </c>
      <c r="W70" s="310"/>
    </row>
    <row r="71" spans="1:23" ht="12.75">
      <c r="A71" s="16">
        <f t="shared" si="0"/>
        <v>63</v>
      </c>
      <c r="B71" s="16">
        <v>3103</v>
      </c>
      <c r="C71" s="16"/>
      <c r="D71" s="17" t="s">
        <v>22</v>
      </c>
      <c r="E71" s="17" t="s">
        <v>57</v>
      </c>
      <c r="F71" s="18">
        <v>5</v>
      </c>
      <c r="G71" s="18">
        <f t="shared" si="9"/>
        <v>5</v>
      </c>
      <c r="H71" s="18">
        <v>5</v>
      </c>
      <c r="I71" s="18">
        <v>0</v>
      </c>
      <c r="J71" s="19">
        <f t="shared" si="7"/>
        <v>227.54</v>
      </c>
      <c r="K71" s="20">
        <v>227.54</v>
      </c>
      <c r="L71" s="20"/>
      <c r="M71" s="21">
        <v>51505.74</v>
      </c>
      <c r="N71" s="22">
        <v>33352.72</v>
      </c>
      <c r="O71" s="21">
        <f t="shared" si="8"/>
        <v>18153.019999999997</v>
      </c>
      <c r="P71" s="23">
        <v>1930</v>
      </c>
      <c r="Q71" s="24" t="s">
        <v>24</v>
      </c>
      <c r="R71" s="24" t="s">
        <v>24</v>
      </c>
      <c r="S71" s="201"/>
      <c r="T71" s="211"/>
      <c r="U71" s="288">
        <v>2710</v>
      </c>
      <c r="V71" s="290">
        <f t="shared" si="6"/>
        <v>616633.4</v>
      </c>
      <c r="W71" s="310"/>
    </row>
    <row r="72" spans="1:23" ht="12.75">
      <c r="A72" s="16">
        <f t="shared" si="0"/>
        <v>64</v>
      </c>
      <c r="B72" s="16">
        <v>3104</v>
      </c>
      <c r="C72" s="16"/>
      <c r="D72" s="17" t="s">
        <v>22</v>
      </c>
      <c r="E72" s="17" t="s">
        <v>57</v>
      </c>
      <c r="F72" s="18">
        <v>7</v>
      </c>
      <c r="G72" s="18">
        <f t="shared" si="9"/>
        <v>4</v>
      </c>
      <c r="H72" s="18">
        <v>4</v>
      </c>
      <c r="I72" s="18">
        <v>0</v>
      </c>
      <c r="J72" s="19">
        <f aca="true" t="shared" si="10" ref="J72:J103">SUM(K72:L72)</f>
        <v>167.07</v>
      </c>
      <c r="K72" s="20">
        <v>167.07</v>
      </c>
      <c r="L72" s="20"/>
      <c r="M72" s="21">
        <v>52744.11</v>
      </c>
      <c r="N72" s="22">
        <v>22841.53</v>
      </c>
      <c r="O72" s="21">
        <f aca="true" t="shared" si="11" ref="O72:O103">M72-N72</f>
        <v>29902.58</v>
      </c>
      <c r="P72" s="23">
        <v>1930</v>
      </c>
      <c r="Q72" s="24" t="s">
        <v>24</v>
      </c>
      <c r="R72" s="24" t="s">
        <v>24</v>
      </c>
      <c r="S72" s="201"/>
      <c r="T72" s="211"/>
      <c r="U72" s="288">
        <v>2710</v>
      </c>
      <c r="V72" s="290">
        <f t="shared" si="6"/>
        <v>452759.69999999995</v>
      </c>
      <c r="W72" s="310"/>
    </row>
    <row r="73" spans="1:23" ht="12.75">
      <c r="A73" s="220">
        <f t="shared" si="0"/>
        <v>65</v>
      </c>
      <c r="B73" s="29">
        <v>1102</v>
      </c>
      <c r="C73" s="29"/>
      <c r="D73" s="30" t="s">
        <v>22</v>
      </c>
      <c r="E73" s="30" t="s">
        <v>58</v>
      </c>
      <c r="F73" s="31">
        <v>3</v>
      </c>
      <c r="G73" s="31">
        <f t="shared" si="9"/>
        <v>5</v>
      </c>
      <c r="H73" s="31">
        <v>5</v>
      </c>
      <c r="I73" s="31">
        <v>0</v>
      </c>
      <c r="J73" s="19">
        <f t="shared" si="10"/>
        <v>374.23</v>
      </c>
      <c r="K73" s="32">
        <v>374.23</v>
      </c>
      <c r="L73" s="32"/>
      <c r="M73" s="33">
        <v>105705.82</v>
      </c>
      <c r="N73" s="34">
        <v>105705.82</v>
      </c>
      <c r="O73" s="33">
        <f t="shared" si="11"/>
        <v>0</v>
      </c>
      <c r="P73" s="35">
        <v>1925</v>
      </c>
      <c r="Q73" s="36" t="s">
        <v>24</v>
      </c>
      <c r="R73" s="36" t="s">
        <v>24</v>
      </c>
      <c r="S73" s="204"/>
      <c r="T73" s="230"/>
      <c r="U73" s="291"/>
      <c r="V73" s="292"/>
      <c r="W73" s="310" t="s">
        <v>272</v>
      </c>
    </row>
    <row r="74" spans="1:23" ht="12.75">
      <c r="A74" s="16">
        <f aca="true" t="shared" si="12" ref="A74:A137">A73+1</f>
        <v>66</v>
      </c>
      <c r="B74" s="18">
        <v>3130</v>
      </c>
      <c r="C74" s="18"/>
      <c r="D74" s="17" t="s">
        <v>22</v>
      </c>
      <c r="E74" s="17" t="s">
        <v>59</v>
      </c>
      <c r="F74" s="18">
        <v>2</v>
      </c>
      <c r="G74" s="18">
        <f t="shared" si="9"/>
        <v>7</v>
      </c>
      <c r="H74" s="18">
        <v>7</v>
      </c>
      <c r="I74" s="18">
        <v>0</v>
      </c>
      <c r="J74" s="19">
        <f t="shared" si="10"/>
        <v>373.88</v>
      </c>
      <c r="K74" s="20">
        <f>365.71+8.17</f>
        <v>373.88</v>
      </c>
      <c r="L74" s="20"/>
      <c r="M74" s="21">
        <v>91089.43</v>
      </c>
      <c r="N74" s="22">
        <v>39468.69</v>
      </c>
      <c r="O74" s="21">
        <f t="shared" si="11"/>
        <v>51620.73999999999</v>
      </c>
      <c r="P74" s="23">
        <v>1902</v>
      </c>
      <c r="Q74" s="24" t="s">
        <v>24</v>
      </c>
      <c r="R74" s="24" t="s">
        <v>24</v>
      </c>
      <c r="S74" s="206">
        <v>1988</v>
      </c>
      <c r="T74" s="211"/>
      <c r="U74" s="288">
        <v>2710</v>
      </c>
      <c r="V74" s="290">
        <f t="shared" si="6"/>
        <v>1013214.7999999999</v>
      </c>
      <c r="W74" s="310"/>
    </row>
    <row r="75" spans="1:23" ht="12.75">
      <c r="A75" s="16">
        <f t="shared" si="12"/>
        <v>67</v>
      </c>
      <c r="B75" s="18">
        <v>3132</v>
      </c>
      <c r="C75" s="18"/>
      <c r="D75" s="17" t="s">
        <v>22</v>
      </c>
      <c r="E75" s="17" t="s">
        <v>59</v>
      </c>
      <c r="F75" s="18">
        <v>5</v>
      </c>
      <c r="G75" s="18">
        <f t="shared" si="9"/>
        <v>5</v>
      </c>
      <c r="H75" s="18">
        <v>5</v>
      </c>
      <c r="I75" s="18">
        <v>0</v>
      </c>
      <c r="J75" s="19">
        <f t="shared" si="10"/>
        <v>246.96</v>
      </c>
      <c r="K75" s="20">
        <v>246.96</v>
      </c>
      <c r="L75" s="20"/>
      <c r="M75" s="21">
        <v>76372.77</v>
      </c>
      <c r="N75" s="22">
        <v>76372.77</v>
      </c>
      <c r="O75" s="21">
        <f t="shared" si="11"/>
        <v>0</v>
      </c>
      <c r="P75" s="23">
        <v>1903</v>
      </c>
      <c r="Q75" s="24" t="s">
        <v>24</v>
      </c>
      <c r="R75" s="24" t="s">
        <v>24</v>
      </c>
      <c r="S75" s="206">
        <v>1987</v>
      </c>
      <c r="T75" s="211"/>
      <c r="U75" s="288">
        <v>2710</v>
      </c>
      <c r="V75" s="290">
        <f t="shared" si="6"/>
        <v>669261.6</v>
      </c>
      <c r="W75" s="310"/>
    </row>
    <row r="76" spans="1:23" ht="12.75">
      <c r="A76" s="16">
        <f t="shared" si="12"/>
        <v>68</v>
      </c>
      <c r="B76" s="18">
        <v>3133</v>
      </c>
      <c r="C76" s="18"/>
      <c r="D76" s="17" t="s">
        <v>22</v>
      </c>
      <c r="E76" s="17" t="s">
        <v>59</v>
      </c>
      <c r="F76" s="18">
        <v>6</v>
      </c>
      <c r="G76" s="18">
        <f t="shared" si="9"/>
        <v>4</v>
      </c>
      <c r="H76" s="18">
        <v>4</v>
      </c>
      <c r="I76" s="18">
        <v>0</v>
      </c>
      <c r="J76" s="19">
        <f t="shared" si="10"/>
        <v>177.03</v>
      </c>
      <c r="K76" s="20">
        <v>177.03</v>
      </c>
      <c r="L76" s="20"/>
      <c r="M76" s="21">
        <v>48121.35</v>
      </c>
      <c r="N76" s="22">
        <v>44984.77</v>
      </c>
      <c r="O76" s="21">
        <f t="shared" si="11"/>
        <v>3136.5800000000017</v>
      </c>
      <c r="P76" s="23">
        <v>1912</v>
      </c>
      <c r="Q76" s="24" t="s">
        <v>24</v>
      </c>
      <c r="R76" s="24" t="s">
        <v>24</v>
      </c>
      <c r="S76" s="201"/>
      <c r="T76" s="211"/>
      <c r="U76" s="288">
        <v>2710</v>
      </c>
      <c r="V76" s="290">
        <f t="shared" si="6"/>
        <v>479751.3</v>
      </c>
      <c r="W76" s="310"/>
    </row>
    <row r="77" spans="1:23" ht="12.75">
      <c r="A77" s="16">
        <f t="shared" si="12"/>
        <v>69</v>
      </c>
      <c r="B77" s="18">
        <v>3134</v>
      </c>
      <c r="C77" s="18"/>
      <c r="D77" s="17" t="s">
        <v>22</v>
      </c>
      <c r="E77" s="17" t="s">
        <v>59</v>
      </c>
      <c r="F77" s="18">
        <v>8</v>
      </c>
      <c r="G77" s="18">
        <f t="shared" si="9"/>
        <v>6</v>
      </c>
      <c r="H77" s="18">
        <v>6</v>
      </c>
      <c r="I77" s="18">
        <v>0</v>
      </c>
      <c r="J77" s="19">
        <f t="shared" si="10"/>
        <v>299.63</v>
      </c>
      <c r="K77" s="20">
        <v>299.63</v>
      </c>
      <c r="L77" s="20"/>
      <c r="M77" s="21">
        <v>76176.4</v>
      </c>
      <c r="N77" s="22">
        <v>58881.4</v>
      </c>
      <c r="O77" s="21">
        <f t="shared" si="11"/>
        <v>17294.999999999993</v>
      </c>
      <c r="P77" s="23">
        <v>1905</v>
      </c>
      <c r="Q77" s="24" t="s">
        <v>24</v>
      </c>
      <c r="R77" s="24" t="s">
        <v>24</v>
      </c>
      <c r="S77" s="201"/>
      <c r="T77" s="211"/>
      <c r="U77" s="288">
        <v>2710</v>
      </c>
      <c r="V77" s="290">
        <f t="shared" si="6"/>
        <v>811997.2999999999</v>
      </c>
      <c r="W77" s="310"/>
    </row>
    <row r="78" spans="1:23" ht="12.75">
      <c r="A78" s="16">
        <f t="shared" si="12"/>
        <v>70</v>
      </c>
      <c r="B78" s="18">
        <v>3135</v>
      </c>
      <c r="C78" s="18"/>
      <c r="D78" s="17" t="s">
        <v>22</v>
      </c>
      <c r="E78" s="17" t="s">
        <v>59</v>
      </c>
      <c r="F78" s="18">
        <v>10</v>
      </c>
      <c r="G78" s="18">
        <f t="shared" si="9"/>
        <v>2</v>
      </c>
      <c r="H78" s="18">
        <v>2</v>
      </c>
      <c r="I78" s="18">
        <v>0</v>
      </c>
      <c r="J78" s="19">
        <f t="shared" si="10"/>
        <v>119.99</v>
      </c>
      <c r="K78" s="20">
        <v>119.99</v>
      </c>
      <c r="L78" s="20"/>
      <c r="M78" s="21">
        <v>28668</v>
      </c>
      <c r="N78" s="22">
        <v>28668</v>
      </c>
      <c r="O78" s="21">
        <f t="shared" si="11"/>
        <v>0</v>
      </c>
      <c r="P78" s="23">
        <v>1912</v>
      </c>
      <c r="Q78" s="24" t="s">
        <v>24</v>
      </c>
      <c r="R78" s="24" t="s">
        <v>24</v>
      </c>
      <c r="S78" s="201"/>
      <c r="T78" s="211"/>
      <c r="U78" s="288">
        <v>2710</v>
      </c>
      <c r="V78" s="290">
        <f t="shared" si="6"/>
        <v>325172.89999999997</v>
      </c>
      <c r="W78" s="310"/>
    </row>
    <row r="79" spans="1:23" ht="12.75">
      <c r="A79" s="16">
        <f t="shared" si="12"/>
        <v>71</v>
      </c>
      <c r="B79" s="44">
        <v>1118</v>
      </c>
      <c r="C79" s="44"/>
      <c r="D79" s="43" t="s">
        <v>22</v>
      </c>
      <c r="E79" s="43" t="s">
        <v>60</v>
      </c>
      <c r="F79" s="46" t="s">
        <v>61</v>
      </c>
      <c r="G79" s="18">
        <f t="shared" si="9"/>
        <v>25</v>
      </c>
      <c r="H79" s="18">
        <v>24</v>
      </c>
      <c r="I79" s="18">
        <v>1</v>
      </c>
      <c r="J79" s="19">
        <f t="shared" si="10"/>
        <v>1266.2</v>
      </c>
      <c r="K79" s="45">
        <v>1207.4</v>
      </c>
      <c r="L79" s="45">
        <v>58.8</v>
      </c>
      <c r="M79" s="21">
        <v>2140369.55</v>
      </c>
      <c r="N79" s="22">
        <v>111975.66</v>
      </c>
      <c r="O79" s="21">
        <f t="shared" si="11"/>
        <v>2028393.89</v>
      </c>
      <c r="P79" s="23">
        <v>2003</v>
      </c>
      <c r="Q79" s="24"/>
      <c r="R79" s="24"/>
      <c r="S79" s="201"/>
      <c r="T79" s="211"/>
      <c r="U79" s="288">
        <v>2710</v>
      </c>
      <c r="V79" s="290">
        <f t="shared" si="6"/>
        <v>3431402</v>
      </c>
      <c r="W79" s="310"/>
    </row>
    <row r="80" spans="1:23" ht="12.75">
      <c r="A80" s="16">
        <f t="shared" si="12"/>
        <v>72</v>
      </c>
      <c r="B80" s="18">
        <v>3140</v>
      </c>
      <c r="C80" s="18"/>
      <c r="D80" s="17" t="s">
        <v>22</v>
      </c>
      <c r="E80" s="17" t="s">
        <v>62</v>
      </c>
      <c r="F80" s="18">
        <v>6</v>
      </c>
      <c r="G80" s="18">
        <f t="shared" si="9"/>
        <v>6</v>
      </c>
      <c r="H80" s="18">
        <v>6</v>
      </c>
      <c r="I80" s="18">
        <v>0</v>
      </c>
      <c r="J80" s="19">
        <f t="shared" si="10"/>
        <v>340.11</v>
      </c>
      <c r="K80" s="20">
        <v>340.11</v>
      </c>
      <c r="L80" s="20"/>
      <c r="M80" s="21">
        <v>62155.58</v>
      </c>
      <c r="N80" s="22">
        <v>15599.46</v>
      </c>
      <c r="O80" s="21">
        <f t="shared" si="11"/>
        <v>46556.12</v>
      </c>
      <c r="P80" s="23">
        <v>1910</v>
      </c>
      <c r="Q80" s="24" t="s">
        <v>24</v>
      </c>
      <c r="R80" s="24" t="s">
        <v>24</v>
      </c>
      <c r="S80" s="201"/>
      <c r="T80" s="211"/>
      <c r="U80" s="288">
        <v>2710</v>
      </c>
      <c r="V80" s="290">
        <f t="shared" si="6"/>
        <v>921698.1000000001</v>
      </c>
      <c r="W80" s="310"/>
    </row>
    <row r="81" spans="1:23" ht="12.75">
      <c r="A81" s="16">
        <f t="shared" si="12"/>
        <v>73</v>
      </c>
      <c r="B81" s="18">
        <v>3139</v>
      </c>
      <c r="C81" s="18"/>
      <c r="D81" s="17" t="s">
        <v>22</v>
      </c>
      <c r="E81" s="17" t="s">
        <v>63</v>
      </c>
      <c r="F81" s="18">
        <v>11</v>
      </c>
      <c r="G81" s="18">
        <f t="shared" si="9"/>
        <v>2</v>
      </c>
      <c r="H81" s="18">
        <v>2</v>
      </c>
      <c r="I81" s="18">
        <v>0</v>
      </c>
      <c r="J81" s="19">
        <f t="shared" si="10"/>
        <v>169.15</v>
      </c>
      <c r="K81" s="20">
        <v>169.15</v>
      </c>
      <c r="L81" s="20"/>
      <c r="M81" s="21">
        <v>41973.98</v>
      </c>
      <c r="N81" s="22">
        <v>41973.98</v>
      </c>
      <c r="O81" s="21">
        <f t="shared" si="11"/>
        <v>0</v>
      </c>
      <c r="P81" s="23">
        <v>1912</v>
      </c>
      <c r="Q81" s="24" t="s">
        <v>24</v>
      </c>
      <c r="R81" s="24" t="s">
        <v>24</v>
      </c>
      <c r="S81" s="201"/>
      <c r="T81" s="211"/>
      <c r="U81" s="288">
        <v>2710</v>
      </c>
      <c r="V81" s="290">
        <f t="shared" si="6"/>
        <v>458396.5</v>
      </c>
      <c r="W81" s="310"/>
    </row>
    <row r="82" spans="1:23" ht="12.75">
      <c r="A82" s="16">
        <f t="shared" si="12"/>
        <v>74</v>
      </c>
      <c r="B82" s="18">
        <v>3142</v>
      </c>
      <c r="C82" s="18"/>
      <c r="D82" s="17" t="s">
        <v>22</v>
      </c>
      <c r="E82" s="17" t="s">
        <v>64</v>
      </c>
      <c r="F82" s="18">
        <v>3</v>
      </c>
      <c r="G82" s="18">
        <f t="shared" si="9"/>
        <v>9</v>
      </c>
      <c r="H82" s="18">
        <v>8</v>
      </c>
      <c r="I82" s="18">
        <v>1</v>
      </c>
      <c r="J82" s="19">
        <f t="shared" si="10"/>
        <v>361.63</v>
      </c>
      <c r="K82" s="20">
        <f>295.7-3.19</f>
        <v>292.51</v>
      </c>
      <c r="L82" s="20">
        <v>69.12</v>
      </c>
      <c r="M82" s="21">
        <v>193456.21</v>
      </c>
      <c r="N82" s="22">
        <v>144350.29</v>
      </c>
      <c r="O82" s="21">
        <f t="shared" si="11"/>
        <v>49105.919999999984</v>
      </c>
      <c r="P82" s="23">
        <v>1902</v>
      </c>
      <c r="Q82" s="24" t="s">
        <v>24</v>
      </c>
      <c r="R82" s="24" t="s">
        <v>24</v>
      </c>
      <c r="S82" s="201"/>
      <c r="T82" s="211"/>
      <c r="U82" s="288">
        <v>2710</v>
      </c>
      <c r="V82" s="290">
        <f t="shared" si="6"/>
        <v>980017.2999999999</v>
      </c>
      <c r="W82" s="310"/>
    </row>
    <row r="83" spans="1:23" ht="12.75">
      <c r="A83" s="16">
        <f t="shared" si="12"/>
        <v>75</v>
      </c>
      <c r="B83" s="18">
        <v>3156</v>
      </c>
      <c r="C83" s="18"/>
      <c r="D83" s="17" t="s">
        <v>22</v>
      </c>
      <c r="E83" s="17" t="s">
        <v>64</v>
      </c>
      <c r="F83" s="18">
        <v>16</v>
      </c>
      <c r="G83" s="18">
        <f t="shared" si="9"/>
        <v>5</v>
      </c>
      <c r="H83" s="18">
        <v>4</v>
      </c>
      <c r="I83" s="18">
        <v>1</v>
      </c>
      <c r="J83" s="19">
        <f t="shared" si="10"/>
        <v>276.95</v>
      </c>
      <c r="K83" s="20">
        <v>253.43</v>
      </c>
      <c r="L83" s="20">
        <v>23.52</v>
      </c>
      <c r="M83" s="21">
        <v>34659.87</v>
      </c>
      <c r="N83" s="22">
        <v>17819.64</v>
      </c>
      <c r="O83" s="21">
        <f t="shared" si="11"/>
        <v>16840.230000000003</v>
      </c>
      <c r="P83" s="23">
        <v>1902</v>
      </c>
      <c r="Q83" s="24" t="s">
        <v>24</v>
      </c>
      <c r="R83" s="24" t="s">
        <v>24</v>
      </c>
      <c r="S83" s="201"/>
      <c r="T83" s="211"/>
      <c r="U83" s="288">
        <v>2710</v>
      </c>
      <c r="V83" s="290">
        <f t="shared" si="6"/>
        <v>750534.5</v>
      </c>
      <c r="W83" s="310"/>
    </row>
    <row r="84" spans="1:23" ht="12.75">
      <c r="A84" s="16">
        <f t="shared" si="12"/>
        <v>76</v>
      </c>
      <c r="B84" s="18">
        <v>3143</v>
      </c>
      <c r="C84" s="18"/>
      <c r="D84" s="17" t="s">
        <v>22</v>
      </c>
      <c r="E84" s="17" t="s">
        <v>64</v>
      </c>
      <c r="F84" s="18">
        <v>20</v>
      </c>
      <c r="G84" s="18">
        <f t="shared" si="9"/>
        <v>5</v>
      </c>
      <c r="H84" s="18">
        <v>4</v>
      </c>
      <c r="I84" s="18">
        <v>1</v>
      </c>
      <c r="J84" s="19">
        <f t="shared" si="10"/>
        <v>309.79999999999995</v>
      </c>
      <c r="K84" s="20">
        <v>272.28</v>
      </c>
      <c r="L84" s="20">
        <v>37.52</v>
      </c>
      <c r="M84" s="21">
        <v>81413.77</v>
      </c>
      <c r="N84" s="22">
        <v>81413.77</v>
      </c>
      <c r="O84" s="21">
        <f t="shared" si="11"/>
        <v>0</v>
      </c>
      <c r="P84" s="23">
        <v>1903</v>
      </c>
      <c r="Q84" s="24" t="s">
        <v>24</v>
      </c>
      <c r="R84" s="24" t="s">
        <v>24</v>
      </c>
      <c r="S84" s="201"/>
      <c r="T84" s="211"/>
      <c r="U84" s="288">
        <v>2710</v>
      </c>
      <c r="V84" s="290">
        <f t="shared" si="6"/>
        <v>839557.9999999999</v>
      </c>
      <c r="W84" s="310"/>
    </row>
    <row r="85" spans="1:23" ht="12.75">
      <c r="A85" s="16">
        <f t="shared" si="12"/>
        <v>77</v>
      </c>
      <c r="B85" s="18">
        <v>3144</v>
      </c>
      <c r="C85" s="18"/>
      <c r="D85" s="17" t="s">
        <v>22</v>
      </c>
      <c r="E85" s="17" t="s">
        <v>64</v>
      </c>
      <c r="F85" s="18">
        <v>24</v>
      </c>
      <c r="G85" s="18">
        <f t="shared" si="9"/>
        <v>4</v>
      </c>
      <c r="H85" s="18">
        <v>4</v>
      </c>
      <c r="I85" s="18">
        <v>0</v>
      </c>
      <c r="J85" s="19">
        <f t="shared" si="10"/>
        <v>264.07</v>
      </c>
      <c r="K85" s="20">
        <v>264.07</v>
      </c>
      <c r="L85" s="20"/>
      <c r="M85" s="37">
        <v>93943.42</v>
      </c>
      <c r="N85" s="22">
        <v>41380.43</v>
      </c>
      <c r="O85" s="21">
        <f t="shared" si="11"/>
        <v>52562.99</v>
      </c>
      <c r="P85" s="23">
        <v>1903</v>
      </c>
      <c r="Q85" s="24" t="s">
        <v>24</v>
      </c>
      <c r="R85" s="24" t="s">
        <v>24</v>
      </c>
      <c r="S85" s="218" t="s">
        <v>254</v>
      </c>
      <c r="T85" s="211" t="s">
        <v>255</v>
      </c>
      <c r="U85" s="288">
        <v>2710</v>
      </c>
      <c r="V85" s="290">
        <f t="shared" si="6"/>
        <v>715629.7</v>
      </c>
      <c r="W85" s="310"/>
    </row>
    <row r="86" spans="1:23" ht="12.75">
      <c r="A86" s="16">
        <f t="shared" si="12"/>
        <v>78</v>
      </c>
      <c r="B86" s="18">
        <v>3145</v>
      </c>
      <c r="C86" s="18"/>
      <c r="D86" s="17" t="s">
        <v>22</v>
      </c>
      <c r="E86" s="17" t="s">
        <v>64</v>
      </c>
      <c r="F86" s="18">
        <v>30</v>
      </c>
      <c r="G86" s="18">
        <f aca="true" t="shared" si="13" ref="G86:G117">SUM(H86:I86)</f>
        <v>4</v>
      </c>
      <c r="H86" s="18">
        <v>3</v>
      </c>
      <c r="I86" s="18">
        <v>1</v>
      </c>
      <c r="J86" s="19">
        <f t="shared" si="10"/>
        <v>246.49</v>
      </c>
      <c r="K86" s="20">
        <v>131.16</v>
      </c>
      <c r="L86" s="20">
        <v>115.33</v>
      </c>
      <c r="M86" s="21">
        <v>73936.64</v>
      </c>
      <c r="N86" s="22">
        <v>19044.46</v>
      </c>
      <c r="O86" s="21">
        <f t="shared" si="11"/>
        <v>54892.18</v>
      </c>
      <c r="P86" s="23">
        <v>1900</v>
      </c>
      <c r="Q86" s="24" t="s">
        <v>24</v>
      </c>
      <c r="R86" s="24" t="s">
        <v>24</v>
      </c>
      <c r="S86" s="201"/>
      <c r="T86" s="211"/>
      <c r="U86" s="288">
        <v>2710</v>
      </c>
      <c r="V86" s="290">
        <f t="shared" si="6"/>
        <v>667987.9</v>
      </c>
      <c r="W86" s="310"/>
    </row>
    <row r="87" spans="1:23" ht="12.75">
      <c r="A87" s="16">
        <f t="shared" si="12"/>
        <v>79</v>
      </c>
      <c r="B87" s="18">
        <v>3158</v>
      </c>
      <c r="C87" s="18"/>
      <c r="D87" s="17" t="s">
        <v>22</v>
      </c>
      <c r="E87" s="17" t="s">
        <v>64</v>
      </c>
      <c r="F87" s="18">
        <v>34</v>
      </c>
      <c r="G87" s="18">
        <f t="shared" si="13"/>
        <v>6</v>
      </c>
      <c r="H87" s="18">
        <v>5</v>
      </c>
      <c r="I87" s="18">
        <v>1</v>
      </c>
      <c r="J87" s="19">
        <f t="shared" si="10"/>
        <v>250.29999999999998</v>
      </c>
      <c r="K87" s="20">
        <f>231.42+9.9</f>
        <v>241.32</v>
      </c>
      <c r="L87" s="20">
        <v>8.98</v>
      </c>
      <c r="M87" s="21">
        <v>17711.36</v>
      </c>
      <c r="N87" s="22">
        <v>7478.1</v>
      </c>
      <c r="O87" s="21">
        <f t="shared" si="11"/>
        <v>10233.26</v>
      </c>
      <c r="P87" s="23">
        <v>1901</v>
      </c>
      <c r="Q87" s="24" t="s">
        <v>24</v>
      </c>
      <c r="R87" s="24" t="s">
        <v>24</v>
      </c>
      <c r="S87" s="201"/>
      <c r="T87" s="211"/>
      <c r="U87" s="288">
        <v>2710</v>
      </c>
      <c r="V87" s="290">
        <f t="shared" si="6"/>
        <v>678313</v>
      </c>
      <c r="W87" s="310"/>
    </row>
    <row r="88" spans="1:23" ht="12.75">
      <c r="A88" s="220">
        <f t="shared" si="12"/>
        <v>80</v>
      </c>
      <c r="B88" s="31">
        <v>3146</v>
      </c>
      <c r="C88" s="31"/>
      <c r="D88" s="30" t="s">
        <v>22</v>
      </c>
      <c r="E88" s="30" t="s">
        <v>65</v>
      </c>
      <c r="F88" s="31">
        <v>39</v>
      </c>
      <c r="G88" s="31">
        <f t="shared" si="13"/>
        <v>2</v>
      </c>
      <c r="H88" s="31">
        <v>2</v>
      </c>
      <c r="I88" s="31">
        <v>0</v>
      </c>
      <c r="J88" s="19">
        <f t="shared" si="10"/>
        <v>199.54</v>
      </c>
      <c r="K88" s="32">
        <v>199.54</v>
      </c>
      <c r="L88" s="32"/>
      <c r="M88" s="33">
        <v>53606.23</v>
      </c>
      <c r="N88" s="34">
        <v>53606.23</v>
      </c>
      <c r="O88" s="33">
        <f t="shared" si="11"/>
        <v>0</v>
      </c>
      <c r="P88" s="35">
        <v>1900</v>
      </c>
      <c r="Q88" s="36" t="s">
        <v>24</v>
      </c>
      <c r="R88" s="36" t="s">
        <v>24</v>
      </c>
      <c r="S88" s="204"/>
      <c r="T88" s="230"/>
      <c r="U88" s="291"/>
      <c r="V88" s="292"/>
      <c r="W88" s="310" t="s">
        <v>272</v>
      </c>
    </row>
    <row r="89" spans="1:23" ht="12.75">
      <c r="A89" s="191">
        <f t="shared" si="12"/>
        <v>81</v>
      </c>
      <c r="B89" s="183">
        <v>3149</v>
      </c>
      <c r="C89" s="183"/>
      <c r="D89" s="184" t="s">
        <v>22</v>
      </c>
      <c r="E89" s="184" t="s">
        <v>64</v>
      </c>
      <c r="F89" s="183">
        <v>51</v>
      </c>
      <c r="G89" s="183">
        <f t="shared" si="13"/>
        <v>7</v>
      </c>
      <c r="H89" s="183">
        <v>7</v>
      </c>
      <c r="I89" s="183">
        <v>0</v>
      </c>
      <c r="J89" s="185">
        <f t="shared" si="10"/>
        <v>319.06</v>
      </c>
      <c r="K89" s="186">
        <v>319.06</v>
      </c>
      <c r="L89" s="186"/>
      <c r="M89" s="187">
        <v>75288.7</v>
      </c>
      <c r="N89" s="188">
        <v>69785.02</v>
      </c>
      <c r="O89" s="187">
        <f t="shared" si="11"/>
        <v>5503.679999999993</v>
      </c>
      <c r="P89" s="189">
        <v>1900</v>
      </c>
      <c r="Q89" s="190" t="s">
        <v>24</v>
      </c>
      <c r="R89" s="190" t="s">
        <v>24</v>
      </c>
      <c r="S89" s="207"/>
      <c r="T89" s="211"/>
      <c r="U89" s="288">
        <v>2710</v>
      </c>
      <c r="V89" s="290">
        <f t="shared" si="6"/>
        <v>864652.6</v>
      </c>
      <c r="W89" s="310"/>
    </row>
    <row r="90" spans="1:23" ht="12.75">
      <c r="A90" s="16">
        <f t="shared" si="12"/>
        <v>82</v>
      </c>
      <c r="B90" s="18">
        <v>3151</v>
      </c>
      <c r="C90" s="18"/>
      <c r="D90" s="17" t="s">
        <v>22</v>
      </c>
      <c r="E90" s="17" t="s">
        <v>64</v>
      </c>
      <c r="F90" s="18">
        <v>69</v>
      </c>
      <c r="G90" s="18">
        <f t="shared" si="13"/>
        <v>7</v>
      </c>
      <c r="H90" s="18">
        <v>6</v>
      </c>
      <c r="I90" s="18">
        <v>1</v>
      </c>
      <c r="J90" s="19">
        <f t="shared" si="10"/>
        <v>398.42999999999995</v>
      </c>
      <c r="K90" s="20">
        <f>323.46+2.9</f>
        <v>326.35999999999996</v>
      </c>
      <c r="L90" s="20">
        <v>72.07</v>
      </c>
      <c r="M90" s="21">
        <v>105276.85</v>
      </c>
      <c r="N90" s="22">
        <v>75837.74</v>
      </c>
      <c r="O90" s="21">
        <f t="shared" si="11"/>
        <v>29439.11</v>
      </c>
      <c r="P90" s="23">
        <v>1900</v>
      </c>
      <c r="Q90" s="232" t="s">
        <v>24</v>
      </c>
      <c r="R90" s="24" t="s">
        <v>24</v>
      </c>
      <c r="S90" s="202">
        <v>1995</v>
      </c>
      <c r="T90" s="211"/>
      <c r="U90" s="288">
        <v>2710</v>
      </c>
      <c r="V90" s="290">
        <f t="shared" si="6"/>
        <v>1079745.2999999998</v>
      </c>
      <c r="W90" s="310"/>
    </row>
    <row r="91" spans="1:23" ht="12.75">
      <c r="A91" s="220">
        <f t="shared" si="12"/>
        <v>83</v>
      </c>
      <c r="B91" s="31">
        <v>3157</v>
      </c>
      <c r="C91" s="31"/>
      <c r="D91" s="30" t="s">
        <v>22</v>
      </c>
      <c r="E91" s="30" t="s">
        <v>65</v>
      </c>
      <c r="F91" s="31">
        <v>75</v>
      </c>
      <c r="G91" s="31">
        <f t="shared" si="13"/>
        <v>2</v>
      </c>
      <c r="H91" s="31">
        <v>2</v>
      </c>
      <c r="I91" s="31">
        <v>0</v>
      </c>
      <c r="J91" s="19">
        <f t="shared" si="10"/>
        <v>114.3</v>
      </c>
      <c r="K91" s="32">
        <v>114.3</v>
      </c>
      <c r="L91" s="32"/>
      <c r="M91" s="33">
        <v>8766.25</v>
      </c>
      <c r="N91" s="34">
        <v>7607</v>
      </c>
      <c r="O91" s="33">
        <f t="shared" si="11"/>
        <v>1159.25</v>
      </c>
      <c r="P91" s="35">
        <v>1904</v>
      </c>
      <c r="Q91" s="36" t="s">
        <v>24</v>
      </c>
      <c r="R91" s="36" t="s">
        <v>24</v>
      </c>
      <c r="S91" s="204"/>
      <c r="T91" s="230"/>
      <c r="U91" s="291"/>
      <c r="V91" s="292"/>
      <c r="W91" s="310" t="s">
        <v>272</v>
      </c>
    </row>
    <row r="92" spans="1:23" ht="12.75">
      <c r="A92" s="220">
        <f t="shared" si="12"/>
        <v>84</v>
      </c>
      <c r="B92" s="31">
        <v>3153</v>
      </c>
      <c r="C92" s="31"/>
      <c r="D92" s="30" t="s">
        <v>22</v>
      </c>
      <c r="E92" s="30" t="s">
        <v>65</v>
      </c>
      <c r="F92" s="31">
        <v>87</v>
      </c>
      <c r="G92" s="31">
        <f t="shared" si="13"/>
        <v>4</v>
      </c>
      <c r="H92" s="31">
        <v>4</v>
      </c>
      <c r="I92" s="31">
        <v>0</v>
      </c>
      <c r="J92" s="19">
        <f t="shared" si="10"/>
        <v>167.09</v>
      </c>
      <c r="K92" s="32">
        <v>167.09</v>
      </c>
      <c r="L92" s="32"/>
      <c r="M92" s="33">
        <v>42298.94</v>
      </c>
      <c r="N92" s="34">
        <v>42298.94</v>
      </c>
      <c r="O92" s="33">
        <f t="shared" si="11"/>
        <v>0</v>
      </c>
      <c r="P92" s="35">
        <v>1920</v>
      </c>
      <c r="Q92" s="36" t="s">
        <v>24</v>
      </c>
      <c r="R92" s="36" t="s">
        <v>24</v>
      </c>
      <c r="S92" s="204"/>
      <c r="T92" s="230"/>
      <c r="U92" s="291"/>
      <c r="V92" s="292"/>
      <c r="W92" s="310" t="s">
        <v>272</v>
      </c>
    </row>
    <row r="93" spans="1:23" ht="12.75">
      <c r="A93" s="16">
        <f t="shared" si="12"/>
        <v>85</v>
      </c>
      <c r="B93" s="18">
        <v>3155</v>
      </c>
      <c r="C93" s="18"/>
      <c r="D93" s="17" t="s">
        <v>22</v>
      </c>
      <c r="E93" s="17" t="s">
        <v>64</v>
      </c>
      <c r="F93" s="18">
        <v>95</v>
      </c>
      <c r="G93" s="18">
        <f t="shared" si="13"/>
        <v>6</v>
      </c>
      <c r="H93" s="18">
        <v>6</v>
      </c>
      <c r="I93" s="18">
        <v>0</v>
      </c>
      <c r="J93" s="19">
        <f t="shared" si="10"/>
        <v>382.93</v>
      </c>
      <c r="K93" s="20">
        <v>382.93</v>
      </c>
      <c r="L93" s="20"/>
      <c r="M93" s="21">
        <v>82140.85</v>
      </c>
      <c r="N93" s="22">
        <v>58384.8</v>
      </c>
      <c r="O93" s="21">
        <f t="shared" si="11"/>
        <v>23756.050000000003</v>
      </c>
      <c r="P93" s="23">
        <v>1900</v>
      </c>
      <c r="Q93" s="24" t="s">
        <v>24</v>
      </c>
      <c r="R93" s="24" t="s">
        <v>24</v>
      </c>
      <c r="S93" s="201"/>
      <c r="T93" s="211"/>
      <c r="U93" s="288">
        <v>2710</v>
      </c>
      <c r="V93" s="290">
        <f aca="true" t="shared" si="14" ref="V93:V143">U93*J93</f>
        <v>1037740.3</v>
      </c>
      <c r="W93" s="310"/>
    </row>
    <row r="94" spans="1:23" ht="12.75">
      <c r="A94" s="16">
        <f t="shared" si="12"/>
        <v>86</v>
      </c>
      <c r="B94" s="28">
        <v>2003</v>
      </c>
      <c r="C94" s="28"/>
      <c r="D94" s="27" t="s">
        <v>22</v>
      </c>
      <c r="E94" s="27" t="s">
        <v>64</v>
      </c>
      <c r="F94" s="28">
        <v>97</v>
      </c>
      <c r="G94" s="28">
        <f t="shared" si="13"/>
        <v>5</v>
      </c>
      <c r="H94" s="28">
        <v>5</v>
      </c>
      <c r="I94" s="28">
        <v>0</v>
      </c>
      <c r="J94" s="173">
        <f t="shared" si="10"/>
        <v>202.54</v>
      </c>
      <c r="K94" s="25">
        <v>202.54</v>
      </c>
      <c r="L94" s="25"/>
      <c r="M94" s="37">
        <v>93684.52</v>
      </c>
      <c r="N94" s="38">
        <v>52597.62</v>
      </c>
      <c r="O94" s="37">
        <f t="shared" si="11"/>
        <v>41086.9</v>
      </c>
      <c r="P94" s="39">
        <v>1900</v>
      </c>
      <c r="Q94" s="40" t="s">
        <v>24</v>
      </c>
      <c r="R94" s="40" t="s">
        <v>24</v>
      </c>
      <c r="S94" s="205"/>
      <c r="T94" s="211"/>
      <c r="U94" s="288">
        <v>2710</v>
      </c>
      <c r="V94" s="290">
        <f t="shared" si="14"/>
        <v>548883.4</v>
      </c>
      <c r="W94" s="310"/>
    </row>
    <row r="95" spans="1:23" ht="25.5">
      <c r="A95" s="16">
        <f t="shared" si="12"/>
        <v>87</v>
      </c>
      <c r="B95" s="18">
        <v>3013</v>
      </c>
      <c r="C95" s="18"/>
      <c r="D95" s="17" t="s">
        <v>66</v>
      </c>
      <c r="E95" s="17" t="s">
        <v>67</v>
      </c>
      <c r="F95" s="18">
        <v>1</v>
      </c>
      <c r="G95" s="18">
        <f t="shared" si="13"/>
        <v>4</v>
      </c>
      <c r="H95" s="18">
        <v>4</v>
      </c>
      <c r="I95" s="18">
        <v>0</v>
      </c>
      <c r="J95" s="19">
        <f t="shared" si="10"/>
        <v>171.62</v>
      </c>
      <c r="K95" s="20">
        <v>171.62</v>
      </c>
      <c r="L95" s="20"/>
      <c r="M95" s="21">
        <v>52003.35</v>
      </c>
      <c r="N95" s="22">
        <v>26613.79</v>
      </c>
      <c r="O95" s="21">
        <f t="shared" si="11"/>
        <v>25389.559999999998</v>
      </c>
      <c r="P95" s="23">
        <v>1900</v>
      </c>
      <c r="Q95" s="24" t="s">
        <v>24</v>
      </c>
      <c r="R95" s="24" t="s">
        <v>24</v>
      </c>
      <c r="S95" s="218" t="s">
        <v>250</v>
      </c>
      <c r="T95" s="219" t="s">
        <v>256</v>
      </c>
      <c r="U95" s="288">
        <v>2710</v>
      </c>
      <c r="V95" s="290">
        <f t="shared" si="14"/>
        <v>465090.2</v>
      </c>
      <c r="W95" s="310"/>
    </row>
    <row r="96" spans="1:23" ht="12.75">
      <c r="A96" s="16">
        <f t="shared" si="12"/>
        <v>88</v>
      </c>
      <c r="B96" s="18">
        <v>3014</v>
      </c>
      <c r="C96" s="18"/>
      <c r="D96" s="17" t="s">
        <v>66</v>
      </c>
      <c r="E96" s="17" t="s">
        <v>67</v>
      </c>
      <c r="F96" s="18">
        <v>2</v>
      </c>
      <c r="G96" s="18">
        <f t="shared" si="13"/>
        <v>4</v>
      </c>
      <c r="H96" s="18">
        <v>4</v>
      </c>
      <c r="I96" s="18">
        <v>0</v>
      </c>
      <c r="J96" s="19">
        <f t="shared" si="10"/>
        <v>168.81</v>
      </c>
      <c r="K96" s="20">
        <v>168.81</v>
      </c>
      <c r="L96" s="20"/>
      <c r="M96" s="21">
        <v>46019.4</v>
      </c>
      <c r="N96" s="22">
        <v>25831.71</v>
      </c>
      <c r="O96" s="21">
        <f t="shared" si="11"/>
        <v>20187.690000000002</v>
      </c>
      <c r="P96" s="23">
        <v>1900</v>
      </c>
      <c r="Q96" s="24" t="s">
        <v>24</v>
      </c>
      <c r="R96" s="24" t="s">
        <v>24</v>
      </c>
      <c r="S96" s="201"/>
      <c r="T96" s="211"/>
      <c r="U96" s="288">
        <v>2710</v>
      </c>
      <c r="V96" s="290">
        <f t="shared" si="14"/>
        <v>457475.10000000003</v>
      </c>
      <c r="W96" s="310"/>
    </row>
    <row r="97" spans="1:23" ht="12.75">
      <c r="A97" s="16">
        <f t="shared" si="12"/>
        <v>89</v>
      </c>
      <c r="B97" s="18">
        <v>3015</v>
      </c>
      <c r="C97" s="18"/>
      <c r="D97" s="17" t="s">
        <v>66</v>
      </c>
      <c r="E97" s="17" t="s">
        <v>67</v>
      </c>
      <c r="F97" s="18">
        <v>3</v>
      </c>
      <c r="G97" s="18">
        <f t="shared" si="13"/>
        <v>3</v>
      </c>
      <c r="H97" s="18">
        <v>3</v>
      </c>
      <c r="I97" s="18">
        <v>0</v>
      </c>
      <c r="J97" s="19">
        <f t="shared" si="10"/>
        <v>107.37</v>
      </c>
      <c r="K97" s="20">
        <v>107.37</v>
      </c>
      <c r="L97" s="20"/>
      <c r="M97" s="21">
        <v>29220.84</v>
      </c>
      <c r="N97" s="22">
        <v>17790.41</v>
      </c>
      <c r="O97" s="21">
        <f t="shared" si="11"/>
        <v>11430.43</v>
      </c>
      <c r="P97" s="23">
        <v>1900</v>
      </c>
      <c r="Q97" s="24" t="s">
        <v>24</v>
      </c>
      <c r="R97" s="24" t="s">
        <v>24</v>
      </c>
      <c r="S97" s="217"/>
      <c r="T97" s="211"/>
      <c r="U97" s="288">
        <v>2710</v>
      </c>
      <c r="V97" s="290">
        <f t="shared" si="14"/>
        <v>290972.7</v>
      </c>
      <c r="W97" s="310"/>
    </row>
    <row r="98" spans="1:23" ht="12.75">
      <c r="A98" s="16">
        <f t="shared" si="12"/>
        <v>90</v>
      </c>
      <c r="B98" s="18">
        <v>3019</v>
      </c>
      <c r="C98" s="18"/>
      <c r="D98" s="17" t="s">
        <v>66</v>
      </c>
      <c r="E98" s="17" t="s">
        <v>68</v>
      </c>
      <c r="F98" s="18">
        <v>2</v>
      </c>
      <c r="G98" s="18">
        <f t="shared" si="13"/>
        <v>2</v>
      </c>
      <c r="H98" s="18">
        <v>2</v>
      </c>
      <c r="I98" s="18">
        <v>0</v>
      </c>
      <c r="J98" s="19">
        <f t="shared" si="10"/>
        <v>116.63</v>
      </c>
      <c r="K98" s="20">
        <v>116.63</v>
      </c>
      <c r="L98" s="20"/>
      <c r="M98" s="21">
        <v>29571.51</v>
      </c>
      <c r="N98" s="22">
        <v>18001.06</v>
      </c>
      <c r="O98" s="21">
        <f t="shared" si="11"/>
        <v>11570.449999999997</v>
      </c>
      <c r="P98" s="23">
        <v>1902</v>
      </c>
      <c r="Q98" s="24" t="s">
        <v>24</v>
      </c>
      <c r="R98" s="24" t="s">
        <v>24</v>
      </c>
      <c r="S98" s="217"/>
      <c r="T98" s="211"/>
      <c r="U98" s="288">
        <v>2710</v>
      </c>
      <c r="V98" s="290">
        <f t="shared" si="14"/>
        <v>316067.3</v>
      </c>
      <c r="W98" s="310"/>
    </row>
    <row r="99" spans="1:23" ht="12.75">
      <c r="A99" s="16">
        <f t="shared" si="12"/>
        <v>91</v>
      </c>
      <c r="B99" s="18">
        <v>3020</v>
      </c>
      <c r="C99" s="18"/>
      <c r="D99" s="17" t="s">
        <v>66</v>
      </c>
      <c r="E99" s="17" t="s">
        <v>68</v>
      </c>
      <c r="F99" s="18">
        <v>3</v>
      </c>
      <c r="G99" s="18">
        <f t="shared" si="13"/>
        <v>3</v>
      </c>
      <c r="H99" s="18">
        <v>3</v>
      </c>
      <c r="I99" s="18">
        <v>0</v>
      </c>
      <c r="J99" s="19">
        <f t="shared" si="10"/>
        <v>106.05</v>
      </c>
      <c r="K99" s="20">
        <v>106.05</v>
      </c>
      <c r="L99" s="20"/>
      <c r="M99" s="21">
        <v>104299.35</v>
      </c>
      <c r="N99" s="22">
        <v>53731.48</v>
      </c>
      <c r="O99" s="21">
        <f t="shared" si="11"/>
        <v>50567.87</v>
      </c>
      <c r="P99" s="23">
        <v>1902</v>
      </c>
      <c r="Q99" s="24" t="s">
        <v>24</v>
      </c>
      <c r="R99" s="24" t="s">
        <v>24</v>
      </c>
      <c r="S99" s="217"/>
      <c r="T99" s="211"/>
      <c r="U99" s="288">
        <v>2710</v>
      </c>
      <c r="V99" s="290">
        <f t="shared" si="14"/>
        <v>287395.5</v>
      </c>
      <c r="W99" s="310"/>
    </row>
    <row r="100" spans="1:23" ht="12.75">
      <c r="A100" s="16">
        <f t="shared" si="12"/>
        <v>92</v>
      </c>
      <c r="B100" s="18">
        <v>3024</v>
      </c>
      <c r="C100" s="18"/>
      <c r="D100" s="17" t="s">
        <v>66</v>
      </c>
      <c r="E100" s="17" t="s">
        <v>69</v>
      </c>
      <c r="F100" s="18">
        <v>2</v>
      </c>
      <c r="G100" s="18">
        <f t="shared" si="13"/>
        <v>7</v>
      </c>
      <c r="H100" s="18">
        <v>7</v>
      </c>
      <c r="I100" s="18">
        <v>0</v>
      </c>
      <c r="J100" s="19">
        <f t="shared" si="10"/>
        <v>361.85</v>
      </c>
      <c r="K100" s="20">
        <v>361.85</v>
      </c>
      <c r="L100" s="20"/>
      <c r="M100" s="21">
        <v>173285.95</v>
      </c>
      <c r="N100" s="22">
        <v>49911.89</v>
      </c>
      <c r="O100" s="21">
        <f t="shared" si="11"/>
        <v>123374.06000000001</v>
      </c>
      <c r="P100" s="23">
        <v>1900</v>
      </c>
      <c r="Q100" s="24" t="s">
        <v>24</v>
      </c>
      <c r="R100" s="24" t="s">
        <v>24</v>
      </c>
      <c r="S100" s="218" t="s">
        <v>250</v>
      </c>
      <c r="T100" s="219" t="s">
        <v>262</v>
      </c>
      <c r="U100" s="288">
        <v>2710</v>
      </c>
      <c r="V100" s="290">
        <f t="shared" si="14"/>
        <v>980613.5000000001</v>
      </c>
      <c r="W100" s="310"/>
    </row>
    <row r="101" spans="1:23" ht="22.5" customHeight="1">
      <c r="A101" s="16">
        <f t="shared" si="12"/>
        <v>93</v>
      </c>
      <c r="B101" s="18">
        <v>3025</v>
      </c>
      <c r="C101" s="18"/>
      <c r="D101" s="17" t="s">
        <v>66</v>
      </c>
      <c r="E101" s="17" t="s">
        <v>69</v>
      </c>
      <c r="F101" s="18">
        <v>5</v>
      </c>
      <c r="G101" s="18">
        <f t="shared" si="13"/>
        <v>3</v>
      </c>
      <c r="H101" s="18">
        <v>3</v>
      </c>
      <c r="I101" s="18">
        <v>0</v>
      </c>
      <c r="J101" s="19">
        <f t="shared" si="10"/>
        <v>147.29</v>
      </c>
      <c r="K101" s="20">
        <v>147.29</v>
      </c>
      <c r="L101" s="20"/>
      <c r="M101" s="21">
        <v>62186.99</v>
      </c>
      <c r="N101" s="22">
        <v>25994.6</v>
      </c>
      <c r="O101" s="21">
        <f t="shared" si="11"/>
        <v>36192.39</v>
      </c>
      <c r="P101" s="23">
        <v>1900</v>
      </c>
      <c r="Q101" s="24" t="s">
        <v>24</v>
      </c>
      <c r="R101" s="24" t="s">
        <v>24</v>
      </c>
      <c r="S101" s="218" t="s">
        <v>250</v>
      </c>
      <c r="T101" s="219" t="s">
        <v>262</v>
      </c>
      <c r="U101" s="288">
        <v>2710</v>
      </c>
      <c r="V101" s="290">
        <f t="shared" si="14"/>
        <v>399155.89999999997</v>
      </c>
      <c r="W101" s="310"/>
    </row>
    <row r="102" spans="1:23" ht="12.75">
      <c r="A102" s="16">
        <f t="shared" si="12"/>
        <v>94</v>
      </c>
      <c r="B102" s="18">
        <v>3073</v>
      </c>
      <c r="C102" s="18"/>
      <c r="D102" s="17" t="s">
        <v>66</v>
      </c>
      <c r="E102" s="17" t="s">
        <v>70</v>
      </c>
      <c r="F102" s="18">
        <v>2</v>
      </c>
      <c r="G102" s="18">
        <f t="shared" si="13"/>
        <v>2</v>
      </c>
      <c r="H102" s="18">
        <v>2</v>
      </c>
      <c r="I102" s="18">
        <v>0</v>
      </c>
      <c r="J102" s="19">
        <f t="shared" si="10"/>
        <v>120.25</v>
      </c>
      <c r="K102" s="20">
        <v>120.25</v>
      </c>
      <c r="L102" s="20"/>
      <c r="M102" s="21">
        <v>39457.67</v>
      </c>
      <c r="N102" s="22">
        <v>20432.86</v>
      </c>
      <c r="O102" s="21">
        <f t="shared" si="11"/>
        <v>19024.809999999998</v>
      </c>
      <c r="P102" s="23">
        <v>1912</v>
      </c>
      <c r="Q102" s="24" t="s">
        <v>24</v>
      </c>
      <c r="R102" s="24" t="s">
        <v>24</v>
      </c>
      <c r="S102" s="217"/>
      <c r="T102" s="211"/>
      <c r="U102" s="288">
        <v>2710</v>
      </c>
      <c r="V102" s="290">
        <f t="shared" si="14"/>
        <v>325877.5</v>
      </c>
      <c r="W102" s="310"/>
    </row>
    <row r="103" spans="1:23" ht="12.75">
      <c r="A103" s="16">
        <f t="shared" si="12"/>
        <v>95</v>
      </c>
      <c r="B103" s="18">
        <v>3074</v>
      </c>
      <c r="C103" s="18"/>
      <c r="D103" s="17" t="s">
        <v>66</v>
      </c>
      <c r="E103" s="17" t="s">
        <v>70</v>
      </c>
      <c r="F103" s="18">
        <v>3</v>
      </c>
      <c r="G103" s="18">
        <f t="shared" si="13"/>
        <v>6</v>
      </c>
      <c r="H103" s="18">
        <v>6</v>
      </c>
      <c r="I103" s="18">
        <v>0</v>
      </c>
      <c r="J103" s="19">
        <f t="shared" si="10"/>
        <v>224.79</v>
      </c>
      <c r="K103" s="20">
        <v>224.79</v>
      </c>
      <c r="L103" s="20"/>
      <c r="M103" s="21">
        <v>45117.04</v>
      </c>
      <c r="N103" s="22">
        <v>23349.62</v>
      </c>
      <c r="O103" s="21">
        <f t="shared" si="11"/>
        <v>21767.420000000002</v>
      </c>
      <c r="P103" s="23">
        <v>1912</v>
      </c>
      <c r="Q103" s="24" t="s">
        <v>24</v>
      </c>
      <c r="R103" s="24" t="s">
        <v>24</v>
      </c>
      <c r="S103" s="217"/>
      <c r="T103" s="211"/>
      <c r="U103" s="288">
        <v>2710</v>
      </c>
      <c r="V103" s="290">
        <f t="shared" si="14"/>
        <v>609180.9</v>
      </c>
      <c r="W103" s="310"/>
    </row>
    <row r="104" spans="1:23" ht="12.75">
      <c r="A104" s="16">
        <f t="shared" si="12"/>
        <v>96</v>
      </c>
      <c r="B104" s="18">
        <v>3075</v>
      </c>
      <c r="C104" s="18"/>
      <c r="D104" s="17" t="s">
        <v>66</v>
      </c>
      <c r="E104" s="17" t="s">
        <v>70</v>
      </c>
      <c r="F104" s="18">
        <v>4</v>
      </c>
      <c r="G104" s="18">
        <f t="shared" si="13"/>
        <v>3</v>
      </c>
      <c r="H104" s="18">
        <v>3</v>
      </c>
      <c r="I104" s="18">
        <v>0</v>
      </c>
      <c r="J104" s="19">
        <f aca="true" t="shared" si="15" ref="J104:J135">SUM(K104:L104)</f>
        <v>98.43</v>
      </c>
      <c r="K104" s="20">
        <v>98.43</v>
      </c>
      <c r="L104" s="20"/>
      <c r="M104" s="21">
        <v>46296.1</v>
      </c>
      <c r="N104" s="22">
        <v>18440.76</v>
      </c>
      <c r="O104" s="21">
        <f aca="true" t="shared" si="16" ref="O104:O135">M104-N104</f>
        <v>27855.34</v>
      </c>
      <c r="P104" s="23">
        <v>1912</v>
      </c>
      <c r="Q104" s="24" t="s">
        <v>24</v>
      </c>
      <c r="R104" s="24" t="s">
        <v>24</v>
      </c>
      <c r="S104" s="217"/>
      <c r="T104" s="211"/>
      <c r="U104" s="288">
        <v>2710</v>
      </c>
      <c r="V104" s="290">
        <f t="shared" si="14"/>
        <v>266745.30000000005</v>
      </c>
      <c r="W104" s="310"/>
    </row>
    <row r="105" spans="1:23" ht="12.75">
      <c r="A105" s="16">
        <f t="shared" si="12"/>
        <v>97</v>
      </c>
      <c r="B105" s="28">
        <v>3076</v>
      </c>
      <c r="C105" s="28"/>
      <c r="D105" s="27" t="s">
        <v>66</v>
      </c>
      <c r="E105" s="27" t="s">
        <v>70</v>
      </c>
      <c r="F105" s="28">
        <v>5</v>
      </c>
      <c r="G105" s="28">
        <f t="shared" si="13"/>
        <v>4</v>
      </c>
      <c r="H105" s="28">
        <v>4</v>
      </c>
      <c r="I105" s="28">
        <v>0</v>
      </c>
      <c r="J105" s="173">
        <f t="shared" si="15"/>
        <v>190.81</v>
      </c>
      <c r="K105" s="25">
        <v>190.81</v>
      </c>
      <c r="L105" s="25"/>
      <c r="M105" s="37">
        <v>62179.73</v>
      </c>
      <c r="N105" s="38">
        <v>32036.12</v>
      </c>
      <c r="O105" s="37">
        <f t="shared" si="16"/>
        <v>30143.610000000004</v>
      </c>
      <c r="P105" s="39">
        <v>1912</v>
      </c>
      <c r="Q105" s="40" t="s">
        <v>24</v>
      </c>
      <c r="R105" s="40" t="s">
        <v>24</v>
      </c>
      <c r="S105" s="233"/>
      <c r="T105" s="211"/>
      <c r="U105" s="288">
        <v>2710</v>
      </c>
      <c r="V105" s="290">
        <f t="shared" si="14"/>
        <v>517095.10000000003</v>
      </c>
      <c r="W105" s="310"/>
    </row>
    <row r="106" spans="1:23" ht="12.75">
      <c r="A106" s="16">
        <f t="shared" si="12"/>
        <v>98</v>
      </c>
      <c r="B106" s="18">
        <v>3111</v>
      </c>
      <c r="C106" s="18"/>
      <c r="D106" s="17" t="s">
        <v>66</v>
      </c>
      <c r="E106" s="17" t="s">
        <v>71</v>
      </c>
      <c r="F106" s="18">
        <v>2</v>
      </c>
      <c r="G106" s="18">
        <f t="shared" si="13"/>
        <v>5</v>
      </c>
      <c r="H106" s="18">
        <v>4</v>
      </c>
      <c r="I106" s="18">
        <v>1</v>
      </c>
      <c r="J106" s="19">
        <f t="shared" si="15"/>
        <v>226.79</v>
      </c>
      <c r="K106" s="20">
        <v>185.2</v>
      </c>
      <c r="L106" s="20">
        <v>41.59</v>
      </c>
      <c r="M106" s="21">
        <v>55387.6</v>
      </c>
      <c r="N106" s="22">
        <v>29914.91</v>
      </c>
      <c r="O106" s="21">
        <f t="shared" si="16"/>
        <v>25472.69</v>
      </c>
      <c r="P106" s="23">
        <v>1919</v>
      </c>
      <c r="Q106" s="24" t="s">
        <v>24</v>
      </c>
      <c r="R106" s="24" t="s">
        <v>24</v>
      </c>
      <c r="S106" s="218" t="s">
        <v>250</v>
      </c>
      <c r="T106" s="211" t="s">
        <v>257</v>
      </c>
      <c r="U106" s="288">
        <v>2710</v>
      </c>
      <c r="V106" s="290">
        <f t="shared" si="14"/>
        <v>614600.9</v>
      </c>
      <c r="W106" s="310"/>
    </row>
    <row r="107" spans="1:23" ht="17.25" customHeight="1">
      <c r="A107" s="16">
        <f t="shared" si="12"/>
        <v>99</v>
      </c>
      <c r="B107" s="18">
        <v>3112</v>
      </c>
      <c r="C107" s="18"/>
      <c r="D107" s="17" t="s">
        <v>66</v>
      </c>
      <c r="E107" s="17" t="s">
        <v>71</v>
      </c>
      <c r="F107" s="18">
        <v>7</v>
      </c>
      <c r="G107" s="18">
        <f t="shared" si="13"/>
        <v>7</v>
      </c>
      <c r="H107" s="18">
        <v>7</v>
      </c>
      <c r="I107" s="18">
        <v>0</v>
      </c>
      <c r="J107" s="19">
        <f t="shared" si="15"/>
        <v>270.63</v>
      </c>
      <c r="K107" s="20">
        <v>270.63</v>
      </c>
      <c r="L107" s="20"/>
      <c r="M107" s="21">
        <v>60618.42</v>
      </c>
      <c r="N107" s="22">
        <v>34243.06</v>
      </c>
      <c r="O107" s="21">
        <f t="shared" si="16"/>
        <v>26375.36</v>
      </c>
      <c r="P107" s="23">
        <v>1923</v>
      </c>
      <c r="Q107" s="24" t="s">
        <v>24</v>
      </c>
      <c r="R107" s="24" t="s">
        <v>24</v>
      </c>
      <c r="S107" s="218" t="s">
        <v>250</v>
      </c>
      <c r="T107" s="241" t="s">
        <v>263</v>
      </c>
      <c r="U107" s="288">
        <v>2710</v>
      </c>
      <c r="V107" s="290">
        <f t="shared" si="14"/>
        <v>733407.2999999999</v>
      </c>
      <c r="W107" s="310"/>
    </row>
    <row r="108" spans="1:23" ht="22.5" customHeight="1">
      <c r="A108" s="16">
        <f t="shared" si="12"/>
        <v>100</v>
      </c>
      <c r="B108" s="18">
        <v>3113</v>
      </c>
      <c r="C108" s="18"/>
      <c r="D108" s="17" t="s">
        <v>66</v>
      </c>
      <c r="E108" s="17" t="s">
        <v>71</v>
      </c>
      <c r="F108" s="18">
        <v>8</v>
      </c>
      <c r="G108" s="18">
        <f t="shared" si="13"/>
        <v>3</v>
      </c>
      <c r="H108" s="18">
        <v>3</v>
      </c>
      <c r="I108" s="18">
        <v>0</v>
      </c>
      <c r="J108" s="19">
        <f t="shared" si="15"/>
        <v>151.11</v>
      </c>
      <c r="K108" s="20">
        <v>151.11</v>
      </c>
      <c r="L108" s="20"/>
      <c r="M108" s="21">
        <v>49224.42</v>
      </c>
      <c r="N108" s="22">
        <v>28032.35</v>
      </c>
      <c r="O108" s="21">
        <f t="shared" si="16"/>
        <v>21192.07</v>
      </c>
      <c r="P108" s="23">
        <v>1884</v>
      </c>
      <c r="Q108" s="24" t="s">
        <v>24</v>
      </c>
      <c r="R108" s="24" t="s">
        <v>24</v>
      </c>
      <c r="S108" s="218" t="s">
        <v>250</v>
      </c>
      <c r="T108" s="219" t="s">
        <v>259</v>
      </c>
      <c r="U108" s="288">
        <v>2710</v>
      </c>
      <c r="V108" s="290">
        <f t="shared" si="14"/>
        <v>409508.10000000003</v>
      </c>
      <c r="W108" s="310"/>
    </row>
    <row r="109" spans="1:23" ht="18" customHeight="1">
      <c r="A109" s="16">
        <f t="shared" si="12"/>
        <v>101</v>
      </c>
      <c r="B109" s="18">
        <v>3115</v>
      </c>
      <c r="C109" s="18"/>
      <c r="D109" s="17" t="s">
        <v>66</v>
      </c>
      <c r="E109" s="17" t="s">
        <v>71</v>
      </c>
      <c r="F109" s="18">
        <v>11</v>
      </c>
      <c r="G109" s="18">
        <f t="shared" si="13"/>
        <v>3</v>
      </c>
      <c r="H109" s="18">
        <v>3</v>
      </c>
      <c r="I109" s="18">
        <v>0</v>
      </c>
      <c r="J109" s="19">
        <f t="shared" si="15"/>
        <v>158.65</v>
      </c>
      <c r="K109" s="20">
        <v>158.65</v>
      </c>
      <c r="L109" s="20"/>
      <c r="M109" s="21">
        <v>61023.47</v>
      </c>
      <c r="N109" s="22">
        <v>24399.29</v>
      </c>
      <c r="O109" s="21">
        <f t="shared" si="16"/>
        <v>36624.18</v>
      </c>
      <c r="P109" s="23">
        <v>1903</v>
      </c>
      <c r="Q109" s="24" t="s">
        <v>24</v>
      </c>
      <c r="R109" s="24" t="s">
        <v>24</v>
      </c>
      <c r="S109" s="218" t="s">
        <v>250</v>
      </c>
      <c r="T109" s="219" t="s">
        <v>259</v>
      </c>
      <c r="U109" s="288">
        <v>2710</v>
      </c>
      <c r="V109" s="290">
        <f t="shared" si="14"/>
        <v>429941.5</v>
      </c>
      <c r="W109" s="310"/>
    </row>
    <row r="110" spans="1:23" ht="12.75">
      <c r="A110" s="16">
        <f t="shared" si="12"/>
        <v>102</v>
      </c>
      <c r="B110" s="18">
        <v>2009</v>
      </c>
      <c r="C110" s="18"/>
      <c r="D110" s="17" t="s">
        <v>66</v>
      </c>
      <c r="E110" s="17" t="s">
        <v>71</v>
      </c>
      <c r="F110" s="18">
        <v>13</v>
      </c>
      <c r="G110" s="18">
        <f t="shared" si="13"/>
        <v>1</v>
      </c>
      <c r="H110" s="18">
        <v>1</v>
      </c>
      <c r="I110" s="18">
        <v>0</v>
      </c>
      <c r="J110" s="19">
        <f t="shared" si="15"/>
        <v>66.76</v>
      </c>
      <c r="K110" s="20">
        <v>66.76</v>
      </c>
      <c r="L110" s="20"/>
      <c r="M110" s="21">
        <v>39983.43</v>
      </c>
      <c r="N110" s="22">
        <v>26338.15</v>
      </c>
      <c r="O110" s="21">
        <f t="shared" si="16"/>
        <v>13645.279999999999</v>
      </c>
      <c r="P110" s="23">
        <v>1980</v>
      </c>
      <c r="Q110" s="24" t="s">
        <v>24</v>
      </c>
      <c r="R110" s="24" t="s">
        <v>24</v>
      </c>
      <c r="S110" s="217"/>
      <c r="T110" s="211"/>
      <c r="U110" s="288">
        <v>2710</v>
      </c>
      <c r="V110" s="290">
        <f t="shared" si="14"/>
        <v>180919.6</v>
      </c>
      <c r="W110" s="310"/>
    </row>
    <row r="111" spans="1:23" ht="25.5">
      <c r="A111" s="16">
        <f t="shared" si="12"/>
        <v>103</v>
      </c>
      <c r="B111" s="18">
        <v>3117</v>
      </c>
      <c r="C111" s="18"/>
      <c r="D111" s="17" t="s">
        <v>66</v>
      </c>
      <c r="E111" s="17" t="s">
        <v>71</v>
      </c>
      <c r="F111" s="18">
        <v>33</v>
      </c>
      <c r="G111" s="18">
        <f t="shared" si="13"/>
        <v>3</v>
      </c>
      <c r="H111" s="18">
        <v>2</v>
      </c>
      <c r="I111" s="18">
        <v>1</v>
      </c>
      <c r="J111" s="19">
        <f t="shared" si="15"/>
        <v>129.81</v>
      </c>
      <c r="K111" s="20">
        <v>116.59</v>
      </c>
      <c r="L111" s="20">
        <v>13.22</v>
      </c>
      <c r="M111" s="21">
        <v>35324.83</v>
      </c>
      <c r="N111" s="22">
        <v>20205.15</v>
      </c>
      <c r="O111" s="21">
        <f t="shared" si="16"/>
        <v>15119.68</v>
      </c>
      <c r="P111" s="23">
        <v>1892</v>
      </c>
      <c r="Q111" s="24" t="s">
        <v>24</v>
      </c>
      <c r="R111" s="24" t="s">
        <v>24</v>
      </c>
      <c r="S111" s="218" t="s">
        <v>250</v>
      </c>
      <c r="T111" s="219" t="s">
        <v>258</v>
      </c>
      <c r="U111" s="288">
        <v>2710</v>
      </c>
      <c r="V111" s="290">
        <f t="shared" si="14"/>
        <v>351785.10000000003</v>
      </c>
      <c r="W111" s="310"/>
    </row>
    <row r="112" spans="1:23" ht="25.5" customHeight="1">
      <c r="A112" s="16">
        <f t="shared" si="12"/>
        <v>104</v>
      </c>
      <c r="B112" s="18">
        <v>3118</v>
      </c>
      <c r="C112" s="18"/>
      <c r="D112" s="17" t="s">
        <v>66</v>
      </c>
      <c r="E112" s="17" t="s">
        <v>71</v>
      </c>
      <c r="F112" s="18">
        <v>34</v>
      </c>
      <c r="G112" s="18">
        <f t="shared" si="13"/>
        <v>4</v>
      </c>
      <c r="H112" s="18">
        <v>4</v>
      </c>
      <c r="I112" s="18">
        <v>0</v>
      </c>
      <c r="J112" s="19">
        <f t="shared" si="15"/>
        <v>188.87</v>
      </c>
      <c r="K112" s="20">
        <v>188.87</v>
      </c>
      <c r="L112" s="20"/>
      <c r="M112" s="21">
        <v>64519.8</v>
      </c>
      <c r="N112" s="22">
        <v>35940.3</v>
      </c>
      <c r="O112" s="21">
        <f t="shared" si="16"/>
        <v>28579.5</v>
      </c>
      <c r="P112" s="23">
        <v>1919</v>
      </c>
      <c r="Q112" s="24" t="s">
        <v>24</v>
      </c>
      <c r="R112" s="24" t="s">
        <v>24</v>
      </c>
      <c r="S112" s="218" t="s">
        <v>250</v>
      </c>
      <c r="T112" s="219" t="s">
        <v>258</v>
      </c>
      <c r="U112" s="288">
        <v>2710</v>
      </c>
      <c r="V112" s="290">
        <f t="shared" si="14"/>
        <v>511837.7</v>
      </c>
      <c r="W112" s="310"/>
    </row>
    <row r="113" spans="1:23" ht="18" customHeight="1">
      <c r="A113" s="16">
        <f t="shared" si="12"/>
        <v>105</v>
      </c>
      <c r="B113" s="18">
        <v>3119</v>
      </c>
      <c r="C113" s="18"/>
      <c r="D113" s="17" t="s">
        <v>66</v>
      </c>
      <c r="E113" s="17" t="s">
        <v>71</v>
      </c>
      <c r="F113" s="18">
        <v>39</v>
      </c>
      <c r="G113" s="18">
        <f t="shared" si="13"/>
        <v>6</v>
      </c>
      <c r="H113" s="18">
        <v>6</v>
      </c>
      <c r="I113" s="18">
        <v>0</v>
      </c>
      <c r="J113" s="19">
        <f t="shared" si="15"/>
        <v>290.48</v>
      </c>
      <c r="K113" s="20">
        <v>290.48</v>
      </c>
      <c r="L113" s="20"/>
      <c r="M113" s="21">
        <v>96431.43</v>
      </c>
      <c r="N113" s="22">
        <v>46611.93</v>
      </c>
      <c r="O113" s="21">
        <f t="shared" si="16"/>
        <v>49819.49999999999</v>
      </c>
      <c r="P113" s="23">
        <v>1909</v>
      </c>
      <c r="Q113" s="24" t="s">
        <v>24</v>
      </c>
      <c r="R113" s="24" t="s">
        <v>24</v>
      </c>
      <c r="S113" s="218" t="s">
        <v>250</v>
      </c>
      <c r="T113" s="211" t="s">
        <v>259</v>
      </c>
      <c r="U113" s="288">
        <v>2710</v>
      </c>
      <c r="V113" s="290">
        <f t="shared" si="14"/>
        <v>787200.8</v>
      </c>
      <c r="W113" s="310"/>
    </row>
    <row r="114" spans="1:23" ht="12.75">
      <c r="A114" s="16">
        <f t="shared" si="12"/>
        <v>106</v>
      </c>
      <c r="B114" s="18">
        <v>3124</v>
      </c>
      <c r="C114" s="18"/>
      <c r="D114" s="17" t="s">
        <v>66</v>
      </c>
      <c r="E114" s="17" t="s">
        <v>71</v>
      </c>
      <c r="F114" s="18">
        <v>40</v>
      </c>
      <c r="G114" s="18">
        <f t="shared" si="13"/>
        <v>3</v>
      </c>
      <c r="H114" s="18">
        <v>3</v>
      </c>
      <c r="I114" s="18">
        <v>0</v>
      </c>
      <c r="J114" s="19">
        <f t="shared" si="15"/>
        <v>245.48999999999998</v>
      </c>
      <c r="K114" s="20">
        <f>246.6-1.11</f>
        <v>245.48999999999998</v>
      </c>
      <c r="L114" s="20"/>
      <c r="M114" s="21">
        <v>134625.74</v>
      </c>
      <c r="N114" s="22">
        <v>94050.16</v>
      </c>
      <c r="O114" s="21">
        <f t="shared" si="16"/>
        <v>40575.57999999999</v>
      </c>
      <c r="P114" s="23">
        <v>1909</v>
      </c>
      <c r="Q114" s="24" t="s">
        <v>24</v>
      </c>
      <c r="R114" s="24" t="s">
        <v>24</v>
      </c>
      <c r="S114" s="218" t="s">
        <v>250</v>
      </c>
      <c r="T114" s="211" t="s">
        <v>259</v>
      </c>
      <c r="U114" s="288">
        <v>2710</v>
      </c>
      <c r="V114" s="290">
        <f t="shared" si="14"/>
        <v>665277.8999999999</v>
      </c>
      <c r="W114" s="310"/>
    </row>
    <row r="115" spans="1:23" ht="12.75">
      <c r="A115" s="16">
        <f t="shared" si="12"/>
        <v>107</v>
      </c>
      <c r="B115" s="18">
        <v>3125</v>
      </c>
      <c r="C115" s="18"/>
      <c r="D115" s="17" t="s">
        <v>66</v>
      </c>
      <c r="E115" s="17" t="s">
        <v>71</v>
      </c>
      <c r="F115" s="18" t="s">
        <v>72</v>
      </c>
      <c r="G115" s="18">
        <f t="shared" si="13"/>
        <v>1</v>
      </c>
      <c r="H115" s="18">
        <v>1</v>
      </c>
      <c r="I115" s="18">
        <v>0</v>
      </c>
      <c r="J115" s="19">
        <f t="shared" si="15"/>
        <v>50.93</v>
      </c>
      <c r="K115" s="20">
        <v>50.93</v>
      </c>
      <c r="L115" s="20"/>
      <c r="M115" s="21">
        <v>31510.18</v>
      </c>
      <c r="N115" s="22">
        <v>14287.64</v>
      </c>
      <c r="O115" s="21">
        <f t="shared" si="16"/>
        <v>17222.54</v>
      </c>
      <c r="P115" s="23">
        <v>1909</v>
      </c>
      <c r="Q115" s="24" t="s">
        <v>24</v>
      </c>
      <c r="R115" s="24" t="s">
        <v>24</v>
      </c>
      <c r="S115" s="217"/>
      <c r="T115" s="211"/>
      <c r="U115" s="288">
        <v>2710</v>
      </c>
      <c r="V115" s="290">
        <f t="shared" si="14"/>
        <v>138020.3</v>
      </c>
      <c r="W115" s="310"/>
    </row>
    <row r="116" spans="1:23" ht="12.75">
      <c r="A116" s="16">
        <f t="shared" si="12"/>
        <v>108</v>
      </c>
      <c r="B116" s="18">
        <v>3120</v>
      </c>
      <c r="C116" s="18"/>
      <c r="D116" s="17" t="s">
        <v>66</v>
      </c>
      <c r="E116" s="17" t="s">
        <v>71</v>
      </c>
      <c r="F116" s="18">
        <v>43</v>
      </c>
      <c r="G116" s="18">
        <f t="shared" si="13"/>
        <v>6</v>
      </c>
      <c r="H116" s="18">
        <v>6</v>
      </c>
      <c r="I116" s="18">
        <v>0</v>
      </c>
      <c r="J116" s="19">
        <f t="shared" si="15"/>
        <v>255.74</v>
      </c>
      <c r="K116" s="20">
        <f>284.79-29.05</f>
        <v>255.74</v>
      </c>
      <c r="L116" s="20"/>
      <c r="M116" s="21">
        <v>94224.75</v>
      </c>
      <c r="N116" s="22">
        <v>46268.91</v>
      </c>
      <c r="O116" s="21">
        <f t="shared" si="16"/>
        <v>47955.84</v>
      </c>
      <c r="P116" s="23">
        <v>1902</v>
      </c>
      <c r="Q116" s="24" t="s">
        <v>24</v>
      </c>
      <c r="R116" s="24" t="s">
        <v>24</v>
      </c>
      <c r="S116" s="218" t="s">
        <v>250</v>
      </c>
      <c r="T116" s="211" t="s">
        <v>259</v>
      </c>
      <c r="U116" s="288">
        <v>2710</v>
      </c>
      <c r="V116" s="290">
        <f t="shared" si="14"/>
        <v>693055.4</v>
      </c>
      <c r="W116" s="310"/>
    </row>
    <row r="117" spans="1:23" ht="12.75">
      <c r="A117" s="220">
        <f t="shared" si="12"/>
        <v>109</v>
      </c>
      <c r="B117" s="31">
        <v>3123</v>
      </c>
      <c r="C117" s="31"/>
      <c r="D117" s="30" t="s">
        <v>66</v>
      </c>
      <c r="E117" s="30" t="s">
        <v>73</v>
      </c>
      <c r="F117" s="31">
        <v>45</v>
      </c>
      <c r="G117" s="31">
        <f t="shared" si="13"/>
        <v>4</v>
      </c>
      <c r="H117" s="31">
        <v>4</v>
      </c>
      <c r="I117" s="31">
        <v>0</v>
      </c>
      <c r="J117" s="19">
        <f t="shared" si="15"/>
        <v>203.88</v>
      </c>
      <c r="K117" s="32">
        <v>203.88</v>
      </c>
      <c r="L117" s="32"/>
      <c r="M117" s="33">
        <v>55411.19</v>
      </c>
      <c r="N117" s="34">
        <v>31399.73</v>
      </c>
      <c r="O117" s="33">
        <f t="shared" si="16"/>
        <v>24011.460000000003</v>
      </c>
      <c r="P117" s="35">
        <v>1902</v>
      </c>
      <c r="Q117" s="36" t="s">
        <v>24</v>
      </c>
      <c r="R117" s="36" t="s">
        <v>24</v>
      </c>
      <c r="S117" s="234"/>
      <c r="T117" s="230"/>
      <c r="U117" s="291"/>
      <c r="V117" s="292"/>
      <c r="W117" s="310" t="s">
        <v>272</v>
      </c>
    </row>
    <row r="118" spans="1:23" ht="12.75">
      <c r="A118" s="16">
        <f t="shared" si="12"/>
        <v>110</v>
      </c>
      <c r="B118" s="18">
        <v>3107</v>
      </c>
      <c r="C118" s="18"/>
      <c r="D118" s="17" t="s">
        <v>66</v>
      </c>
      <c r="E118" s="17" t="s">
        <v>74</v>
      </c>
      <c r="F118" s="18">
        <v>13</v>
      </c>
      <c r="G118" s="18">
        <f aca="true" t="shared" si="17" ref="G118:G143">SUM(H118:I118)</f>
        <v>4</v>
      </c>
      <c r="H118" s="18">
        <v>4</v>
      </c>
      <c r="I118" s="18">
        <v>0</v>
      </c>
      <c r="J118" s="19">
        <f t="shared" si="15"/>
        <v>190.35000000000002</v>
      </c>
      <c r="K118" s="20">
        <f>187.61+2.74</f>
        <v>190.35000000000002</v>
      </c>
      <c r="L118" s="20"/>
      <c r="M118" s="21">
        <v>61865.44</v>
      </c>
      <c r="N118" s="22">
        <v>34438.61</v>
      </c>
      <c r="O118" s="21">
        <f t="shared" si="16"/>
        <v>27426.83</v>
      </c>
      <c r="P118" s="23">
        <v>1910</v>
      </c>
      <c r="Q118" s="24" t="s">
        <v>24</v>
      </c>
      <c r="R118" s="24" t="s">
        <v>24</v>
      </c>
      <c r="S118" s="217"/>
      <c r="T118" s="211"/>
      <c r="U118" s="288">
        <v>2710</v>
      </c>
      <c r="V118" s="290">
        <f t="shared" si="14"/>
        <v>515848.50000000006</v>
      </c>
      <c r="W118" s="310"/>
    </row>
    <row r="119" spans="1:23" ht="12.75">
      <c r="A119" s="16">
        <f t="shared" si="12"/>
        <v>111</v>
      </c>
      <c r="B119" s="18">
        <v>3109</v>
      </c>
      <c r="C119" s="18"/>
      <c r="D119" s="17" t="s">
        <v>66</v>
      </c>
      <c r="E119" s="17" t="s">
        <v>74</v>
      </c>
      <c r="F119" s="18">
        <v>15</v>
      </c>
      <c r="G119" s="18">
        <f t="shared" si="17"/>
        <v>6</v>
      </c>
      <c r="H119" s="18">
        <v>6</v>
      </c>
      <c r="I119" s="18">
        <v>0</v>
      </c>
      <c r="J119" s="19">
        <f t="shared" si="15"/>
        <v>259.8</v>
      </c>
      <c r="K119" s="20">
        <v>259.8</v>
      </c>
      <c r="L119" s="20"/>
      <c r="M119" s="21">
        <v>65679.8</v>
      </c>
      <c r="N119" s="22">
        <v>35515.47</v>
      </c>
      <c r="O119" s="21">
        <f t="shared" si="16"/>
        <v>30164.33</v>
      </c>
      <c r="P119" s="23">
        <v>1911</v>
      </c>
      <c r="Q119" s="24" t="s">
        <v>24</v>
      </c>
      <c r="R119" s="24" t="s">
        <v>24</v>
      </c>
      <c r="S119" s="217"/>
      <c r="T119" s="211"/>
      <c r="U119" s="288">
        <v>2710</v>
      </c>
      <c r="V119" s="290">
        <f t="shared" si="14"/>
        <v>704058</v>
      </c>
      <c r="W119" s="310"/>
    </row>
    <row r="120" spans="1:23" ht="12.75">
      <c r="A120" s="16">
        <f t="shared" si="12"/>
        <v>112</v>
      </c>
      <c r="B120" s="28">
        <v>3128</v>
      </c>
      <c r="C120" s="28"/>
      <c r="D120" s="27" t="s">
        <v>66</v>
      </c>
      <c r="E120" s="27" t="s">
        <v>75</v>
      </c>
      <c r="F120" s="28">
        <v>2</v>
      </c>
      <c r="G120" s="28">
        <f t="shared" si="17"/>
        <v>3</v>
      </c>
      <c r="H120" s="28">
        <v>3</v>
      </c>
      <c r="I120" s="28">
        <v>0</v>
      </c>
      <c r="J120" s="19">
        <f t="shared" si="15"/>
        <v>220.27</v>
      </c>
      <c r="K120" s="25">
        <f>215.14-0.14+5.27</f>
        <v>220.27</v>
      </c>
      <c r="L120" s="25"/>
      <c r="M120" s="21">
        <v>76301.4</v>
      </c>
      <c r="N120" s="22">
        <v>23547.48</v>
      </c>
      <c r="O120" s="21">
        <f t="shared" si="16"/>
        <v>52753.92</v>
      </c>
      <c r="P120" s="23">
        <v>1900</v>
      </c>
      <c r="Q120" s="24" t="s">
        <v>24</v>
      </c>
      <c r="R120" s="24" t="s">
        <v>24</v>
      </c>
      <c r="S120" s="218" t="s">
        <v>250</v>
      </c>
      <c r="T120" s="211" t="s">
        <v>259</v>
      </c>
      <c r="U120" s="288">
        <v>2710</v>
      </c>
      <c r="V120" s="290">
        <f t="shared" si="14"/>
        <v>596931.7000000001</v>
      </c>
      <c r="W120" s="310"/>
    </row>
    <row r="121" spans="1:23" ht="12.75">
      <c r="A121" s="16">
        <f t="shared" si="12"/>
        <v>113</v>
      </c>
      <c r="B121" s="18">
        <v>3159</v>
      </c>
      <c r="C121" s="18"/>
      <c r="D121" s="17" t="s">
        <v>66</v>
      </c>
      <c r="E121" s="17" t="s">
        <v>76</v>
      </c>
      <c r="F121" s="18">
        <v>2</v>
      </c>
      <c r="G121" s="18">
        <f t="shared" si="17"/>
        <v>4</v>
      </c>
      <c r="H121" s="18">
        <v>4</v>
      </c>
      <c r="I121" s="18">
        <v>0</v>
      </c>
      <c r="J121" s="19">
        <f t="shared" si="15"/>
        <v>189.22</v>
      </c>
      <c r="K121" s="20">
        <v>189.22</v>
      </c>
      <c r="L121" s="20"/>
      <c r="M121" s="21">
        <v>62498.67</v>
      </c>
      <c r="N121" s="22">
        <v>34403.58</v>
      </c>
      <c r="O121" s="21">
        <f t="shared" si="16"/>
        <v>28095.089999999997</v>
      </c>
      <c r="P121" s="23">
        <v>1900</v>
      </c>
      <c r="Q121" s="24" t="s">
        <v>24</v>
      </c>
      <c r="R121" s="24" t="s">
        <v>24</v>
      </c>
      <c r="S121" s="217"/>
      <c r="T121" s="211"/>
      <c r="U121" s="288">
        <v>2710</v>
      </c>
      <c r="V121" s="290">
        <f t="shared" si="14"/>
        <v>512786.2</v>
      </c>
      <c r="W121" s="310"/>
    </row>
    <row r="122" spans="1:23" ht="12.75">
      <c r="A122" s="16">
        <f t="shared" si="12"/>
        <v>114</v>
      </c>
      <c r="B122" s="18">
        <v>3160</v>
      </c>
      <c r="C122" s="18"/>
      <c r="D122" s="17" t="s">
        <v>66</v>
      </c>
      <c r="E122" s="17" t="s">
        <v>77</v>
      </c>
      <c r="F122" s="18">
        <v>29</v>
      </c>
      <c r="G122" s="18">
        <f t="shared" si="17"/>
        <v>7</v>
      </c>
      <c r="H122" s="18">
        <v>7</v>
      </c>
      <c r="I122" s="18">
        <v>0</v>
      </c>
      <c r="J122" s="19">
        <f t="shared" si="15"/>
        <v>360.95</v>
      </c>
      <c r="K122" s="20">
        <v>360.95</v>
      </c>
      <c r="L122" s="20"/>
      <c r="M122" s="21">
        <v>65184.43</v>
      </c>
      <c r="N122" s="22">
        <v>43019.58</v>
      </c>
      <c r="O122" s="21">
        <f t="shared" si="16"/>
        <v>22164.85</v>
      </c>
      <c r="P122" s="23">
        <v>1901</v>
      </c>
      <c r="Q122" s="24" t="s">
        <v>24</v>
      </c>
      <c r="R122" s="24" t="s">
        <v>24</v>
      </c>
      <c r="S122" s="218">
        <v>1988</v>
      </c>
      <c r="T122" s="211"/>
      <c r="U122" s="288">
        <v>2710</v>
      </c>
      <c r="V122" s="290">
        <f t="shared" si="14"/>
        <v>978174.5</v>
      </c>
      <c r="W122" s="310"/>
    </row>
    <row r="123" spans="1:23" ht="12.75">
      <c r="A123" s="16">
        <f t="shared" si="12"/>
        <v>115</v>
      </c>
      <c r="B123" s="18">
        <v>3168</v>
      </c>
      <c r="C123" s="18"/>
      <c r="D123" s="17" t="s">
        <v>78</v>
      </c>
      <c r="E123" s="17" t="s">
        <v>30</v>
      </c>
      <c r="F123" s="18">
        <v>15</v>
      </c>
      <c r="G123" s="18">
        <f t="shared" si="17"/>
        <v>4</v>
      </c>
      <c r="H123" s="18">
        <v>4</v>
      </c>
      <c r="I123" s="18">
        <v>0</v>
      </c>
      <c r="J123" s="19">
        <f t="shared" si="15"/>
        <v>188</v>
      </c>
      <c r="K123" s="20">
        <v>188</v>
      </c>
      <c r="L123" s="20"/>
      <c r="M123" s="21">
        <v>29547.99</v>
      </c>
      <c r="N123" s="22">
        <v>13328.3</v>
      </c>
      <c r="O123" s="21">
        <f t="shared" si="16"/>
        <v>16219.690000000002</v>
      </c>
      <c r="P123" s="23">
        <v>1900</v>
      </c>
      <c r="Q123" s="24" t="s">
        <v>24</v>
      </c>
      <c r="R123" s="24" t="s">
        <v>24</v>
      </c>
      <c r="S123" s="218" t="s">
        <v>250</v>
      </c>
      <c r="T123" s="211" t="s">
        <v>259</v>
      </c>
      <c r="U123" s="288">
        <v>2710</v>
      </c>
      <c r="V123" s="290">
        <f t="shared" si="14"/>
        <v>509480</v>
      </c>
      <c r="W123" s="310"/>
    </row>
    <row r="124" spans="1:23" ht="12.75">
      <c r="A124" s="220">
        <f t="shared" si="12"/>
        <v>116</v>
      </c>
      <c r="B124" s="31">
        <v>3169</v>
      </c>
      <c r="C124" s="31"/>
      <c r="D124" s="30" t="s">
        <v>78</v>
      </c>
      <c r="E124" s="30" t="s">
        <v>79</v>
      </c>
      <c r="F124" s="31">
        <v>26</v>
      </c>
      <c r="G124" s="31">
        <f t="shared" si="17"/>
        <v>4</v>
      </c>
      <c r="H124" s="31">
        <v>4</v>
      </c>
      <c r="I124" s="31">
        <v>0</v>
      </c>
      <c r="J124" s="19">
        <f t="shared" si="15"/>
        <v>230.76</v>
      </c>
      <c r="K124" s="32">
        <v>230.76</v>
      </c>
      <c r="L124" s="32"/>
      <c r="M124" s="33">
        <v>37719.4</v>
      </c>
      <c r="N124" s="34">
        <v>22690.73</v>
      </c>
      <c r="O124" s="33">
        <f t="shared" si="16"/>
        <v>15028.670000000002</v>
      </c>
      <c r="P124" s="35">
        <v>1900</v>
      </c>
      <c r="Q124" s="36" t="s">
        <v>24</v>
      </c>
      <c r="R124" s="36" t="s">
        <v>24</v>
      </c>
      <c r="S124" s="234"/>
      <c r="T124" s="230"/>
      <c r="U124" s="293"/>
      <c r="V124" s="292"/>
      <c r="W124" s="310" t="s">
        <v>272</v>
      </c>
    </row>
    <row r="125" spans="1:23" ht="12.75">
      <c r="A125" s="16">
        <f t="shared" si="12"/>
        <v>117</v>
      </c>
      <c r="B125" s="18">
        <v>3171</v>
      </c>
      <c r="C125" s="18"/>
      <c r="D125" s="17" t="s">
        <v>78</v>
      </c>
      <c r="E125" s="17" t="s">
        <v>40</v>
      </c>
      <c r="F125" s="18">
        <v>39</v>
      </c>
      <c r="G125" s="18">
        <f t="shared" si="17"/>
        <v>6</v>
      </c>
      <c r="H125" s="18">
        <v>6</v>
      </c>
      <c r="I125" s="18">
        <v>0</v>
      </c>
      <c r="J125" s="19">
        <f t="shared" si="15"/>
        <v>278.72</v>
      </c>
      <c r="K125" s="20">
        <v>278.72</v>
      </c>
      <c r="L125" s="20"/>
      <c r="M125" s="21">
        <v>56778.89</v>
      </c>
      <c r="N125" s="22">
        <v>31372.04</v>
      </c>
      <c r="O125" s="21">
        <f t="shared" si="16"/>
        <v>25406.85</v>
      </c>
      <c r="P125" s="23">
        <v>1890</v>
      </c>
      <c r="Q125" s="24" t="s">
        <v>24</v>
      </c>
      <c r="R125" s="24" t="s">
        <v>24</v>
      </c>
      <c r="S125" s="217"/>
      <c r="T125" s="211"/>
      <c r="U125" s="288">
        <v>2710</v>
      </c>
      <c r="V125" s="290">
        <f t="shared" si="14"/>
        <v>755331.2000000001</v>
      </c>
      <c r="W125" s="310"/>
    </row>
    <row r="126" spans="1:23" ht="12.75">
      <c r="A126" s="16">
        <f t="shared" si="12"/>
        <v>118</v>
      </c>
      <c r="B126" s="18">
        <v>3172</v>
      </c>
      <c r="C126" s="18"/>
      <c r="D126" s="17" t="s">
        <v>78</v>
      </c>
      <c r="E126" s="17" t="s">
        <v>40</v>
      </c>
      <c r="F126" s="18">
        <v>48</v>
      </c>
      <c r="G126" s="18">
        <f t="shared" si="17"/>
        <v>3</v>
      </c>
      <c r="H126" s="18">
        <v>3</v>
      </c>
      <c r="I126" s="18">
        <v>0</v>
      </c>
      <c r="J126" s="19">
        <f t="shared" si="15"/>
        <v>150.47</v>
      </c>
      <c r="K126" s="20">
        <v>150.47</v>
      </c>
      <c r="L126" s="20"/>
      <c r="M126" s="21">
        <v>28739.21</v>
      </c>
      <c r="N126" s="22">
        <v>17337</v>
      </c>
      <c r="O126" s="21">
        <f t="shared" si="16"/>
        <v>11402.21</v>
      </c>
      <c r="P126" s="23">
        <v>1908</v>
      </c>
      <c r="Q126" s="24" t="s">
        <v>24</v>
      </c>
      <c r="R126" s="24" t="s">
        <v>24</v>
      </c>
      <c r="S126" s="217"/>
      <c r="T126" s="211"/>
      <c r="U126" s="288">
        <v>2710</v>
      </c>
      <c r="V126" s="290">
        <f t="shared" si="14"/>
        <v>407773.7</v>
      </c>
      <c r="W126" s="310"/>
    </row>
    <row r="127" spans="1:23" ht="12.75">
      <c r="A127" s="16">
        <f t="shared" si="12"/>
        <v>119</v>
      </c>
      <c r="B127" s="18">
        <v>3177</v>
      </c>
      <c r="C127" s="18"/>
      <c r="D127" s="17" t="s">
        <v>78</v>
      </c>
      <c r="E127" s="17" t="s">
        <v>80</v>
      </c>
      <c r="F127" s="18">
        <v>7</v>
      </c>
      <c r="G127" s="18">
        <f t="shared" si="17"/>
        <v>3</v>
      </c>
      <c r="H127" s="18">
        <v>3</v>
      </c>
      <c r="I127" s="18">
        <v>0</v>
      </c>
      <c r="J127" s="19">
        <f t="shared" si="15"/>
        <v>117.03</v>
      </c>
      <c r="K127" s="20">
        <v>117.03</v>
      </c>
      <c r="L127" s="20"/>
      <c r="M127" s="21">
        <v>41973.45</v>
      </c>
      <c r="N127" s="22">
        <v>11995.37</v>
      </c>
      <c r="O127" s="21">
        <f t="shared" si="16"/>
        <v>29978.079999999994</v>
      </c>
      <c r="P127" s="23">
        <v>1900</v>
      </c>
      <c r="Q127" s="24" t="s">
        <v>24</v>
      </c>
      <c r="R127" s="24" t="s">
        <v>24</v>
      </c>
      <c r="S127" s="217"/>
      <c r="T127" s="211"/>
      <c r="U127" s="288">
        <v>2710</v>
      </c>
      <c r="V127" s="290">
        <f t="shared" si="14"/>
        <v>317151.3</v>
      </c>
      <c r="W127" s="310"/>
    </row>
    <row r="128" spans="1:23" ht="12.75">
      <c r="A128" s="16">
        <f t="shared" si="12"/>
        <v>120</v>
      </c>
      <c r="B128" s="18">
        <v>3178</v>
      </c>
      <c r="C128" s="18"/>
      <c r="D128" s="17" t="s">
        <v>78</v>
      </c>
      <c r="E128" s="17" t="s">
        <v>80</v>
      </c>
      <c r="F128" s="18">
        <v>12</v>
      </c>
      <c r="G128" s="18">
        <f t="shared" si="17"/>
        <v>3</v>
      </c>
      <c r="H128" s="18">
        <v>3</v>
      </c>
      <c r="I128" s="18">
        <v>0</v>
      </c>
      <c r="J128" s="19">
        <f t="shared" si="15"/>
        <v>118.2</v>
      </c>
      <c r="K128" s="20">
        <v>118.2</v>
      </c>
      <c r="L128" s="20"/>
      <c r="M128" s="21">
        <v>17848.11</v>
      </c>
      <c r="N128" s="22">
        <v>11807.79</v>
      </c>
      <c r="O128" s="21">
        <f t="shared" si="16"/>
        <v>6040.32</v>
      </c>
      <c r="P128" s="23">
        <v>1910</v>
      </c>
      <c r="Q128" s="24" t="s">
        <v>24</v>
      </c>
      <c r="R128" s="24" t="s">
        <v>24</v>
      </c>
      <c r="S128" s="217"/>
      <c r="T128" s="211"/>
      <c r="U128" s="288">
        <v>2710</v>
      </c>
      <c r="V128" s="290">
        <f t="shared" si="14"/>
        <v>320322</v>
      </c>
      <c r="W128" s="310"/>
    </row>
    <row r="129" spans="1:23" ht="12.75">
      <c r="A129" s="16">
        <f t="shared" si="12"/>
        <v>121</v>
      </c>
      <c r="B129" s="18">
        <v>3176</v>
      </c>
      <c r="C129" s="18"/>
      <c r="D129" s="17" t="s">
        <v>78</v>
      </c>
      <c r="E129" s="17" t="s">
        <v>81</v>
      </c>
      <c r="F129" s="18">
        <v>28</v>
      </c>
      <c r="G129" s="18">
        <f t="shared" si="17"/>
        <v>2</v>
      </c>
      <c r="H129" s="18">
        <v>2</v>
      </c>
      <c r="I129" s="18">
        <v>0</v>
      </c>
      <c r="J129" s="19">
        <f t="shared" si="15"/>
        <v>127.46</v>
      </c>
      <c r="K129" s="20">
        <v>127.46</v>
      </c>
      <c r="L129" s="20"/>
      <c r="M129" s="21">
        <v>37217.95</v>
      </c>
      <c r="N129" s="22">
        <v>11734.89</v>
      </c>
      <c r="O129" s="21">
        <f t="shared" si="16"/>
        <v>25483.059999999998</v>
      </c>
      <c r="P129" s="23">
        <v>1910</v>
      </c>
      <c r="Q129" s="24" t="s">
        <v>24</v>
      </c>
      <c r="R129" s="24" t="s">
        <v>24</v>
      </c>
      <c r="S129" s="217"/>
      <c r="T129" s="211"/>
      <c r="U129" s="288">
        <v>2710</v>
      </c>
      <c r="V129" s="290">
        <f t="shared" si="14"/>
        <v>345416.6</v>
      </c>
      <c r="W129" s="310"/>
    </row>
    <row r="130" spans="1:23" ht="12.75">
      <c r="A130" s="16">
        <f t="shared" si="12"/>
        <v>122</v>
      </c>
      <c r="B130" s="18">
        <v>3179</v>
      </c>
      <c r="C130" s="18"/>
      <c r="D130" s="17" t="s">
        <v>78</v>
      </c>
      <c r="E130" s="17" t="s">
        <v>57</v>
      </c>
      <c r="F130" s="18">
        <v>42</v>
      </c>
      <c r="G130" s="18">
        <f t="shared" si="17"/>
        <v>3</v>
      </c>
      <c r="H130" s="18">
        <v>3</v>
      </c>
      <c r="I130" s="18">
        <v>0</v>
      </c>
      <c r="J130" s="19">
        <f t="shared" si="15"/>
        <v>135.89</v>
      </c>
      <c r="K130" s="20">
        <v>135.89</v>
      </c>
      <c r="L130" s="20"/>
      <c r="M130" s="21">
        <v>44365.42</v>
      </c>
      <c r="N130" s="22">
        <v>25610.68</v>
      </c>
      <c r="O130" s="21">
        <f t="shared" si="16"/>
        <v>18754.739999999998</v>
      </c>
      <c r="P130" s="23">
        <v>1898</v>
      </c>
      <c r="Q130" s="24" t="s">
        <v>24</v>
      </c>
      <c r="R130" s="24" t="s">
        <v>24</v>
      </c>
      <c r="S130" s="217"/>
      <c r="T130" s="211"/>
      <c r="U130" s="288">
        <v>2710</v>
      </c>
      <c r="V130" s="290">
        <f t="shared" si="14"/>
        <v>368261.89999999997</v>
      </c>
      <c r="W130" s="310"/>
    </row>
    <row r="131" spans="1:23" ht="12.75">
      <c r="A131" s="16">
        <f t="shared" si="12"/>
        <v>123</v>
      </c>
      <c r="B131" s="18">
        <v>3182</v>
      </c>
      <c r="C131" s="18"/>
      <c r="D131" s="17" t="s">
        <v>78</v>
      </c>
      <c r="E131" s="17" t="s">
        <v>82</v>
      </c>
      <c r="F131" s="18">
        <v>6</v>
      </c>
      <c r="G131" s="18">
        <f t="shared" si="17"/>
        <v>2</v>
      </c>
      <c r="H131" s="18">
        <v>2</v>
      </c>
      <c r="I131" s="18">
        <v>0</v>
      </c>
      <c r="J131" s="19">
        <f t="shared" si="15"/>
        <v>174.47</v>
      </c>
      <c r="K131" s="20">
        <f>166.43+8.04</f>
        <v>174.47</v>
      </c>
      <c r="L131" s="20"/>
      <c r="M131" s="21">
        <v>9864.97</v>
      </c>
      <c r="N131" s="22">
        <v>6031.3</v>
      </c>
      <c r="O131" s="21">
        <f t="shared" si="16"/>
        <v>3833.669999999999</v>
      </c>
      <c r="P131" s="23">
        <v>1913</v>
      </c>
      <c r="Q131" s="24" t="s">
        <v>24</v>
      </c>
      <c r="R131" s="24" t="s">
        <v>24</v>
      </c>
      <c r="S131" s="217"/>
      <c r="T131" s="211"/>
      <c r="U131" s="288">
        <v>2710</v>
      </c>
      <c r="V131" s="290">
        <f t="shared" si="14"/>
        <v>472813.7</v>
      </c>
      <c r="W131" s="310"/>
    </row>
    <row r="132" spans="1:23" ht="12.75">
      <c r="A132" s="16">
        <f t="shared" si="12"/>
        <v>124</v>
      </c>
      <c r="B132" s="18">
        <v>3184</v>
      </c>
      <c r="C132" s="18"/>
      <c r="D132" s="17" t="s">
        <v>78</v>
      </c>
      <c r="E132" s="17" t="s">
        <v>83</v>
      </c>
      <c r="F132" s="18">
        <v>1</v>
      </c>
      <c r="G132" s="18">
        <f t="shared" si="17"/>
        <v>3</v>
      </c>
      <c r="H132" s="18">
        <v>3</v>
      </c>
      <c r="I132" s="18">
        <v>0</v>
      </c>
      <c r="J132" s="19">
        <f t="shared" si="15"/>
        <v>178.99</v>
      </c>
      <c r="K132" s="20">
        <v>178.99</v>
      </c>
      <c r="L132" s="20"/>
      <c r="M132" s="21">
        <v>29812.17</v>
      </c>
      <c r="N132" s="22">
        <v>18029.26</v>
      </c>
      <c r="O132" s="21">
        <f t="shared" si="16"/>
        <v>11782.91</v>
      </c>
      <c r="P132" s="23">
        <v>1925</v>
      </c>
      <c r="Q132" s="24" t="s">
        <v>24</v>
      </c>
      <c r="R132" s="24" t="s">
        <v>24</v>
      </c>
      <c r="S132" s="217"/>
      <c r="T132" s="211"/>
      <c r="U132" s="288">
        <v>2710</v>
      </c>
      <c r="V132" s="290">
        <f t="shared" si="14"/>
        <v>485062.9</v>
      </c>
      <c r="W132" s="310"/>
    </row>
    <row r="133" spans="1:23" ht="12.75">
      <c r="A133" s="16">
        <f t="shared" si="12"/>
        <v>125</v>
      </c>
      <c r="B133" s="18">
        <v>3193</v>
      </c>
      <c r="C133" s="18"/>
      <c r="D133" s="17" t="s">
        <v>78</v>
      </c>
      <c r="E133" s="17" t="s">
        <v>84</v>
      </c>
      <c r="F133" s="18">
        <v>17</v>
      </c>
      <c r="G133" s="18">
        <f t="shared" si="17"/>
        <v>6</v>
      </c>
      <c r="H133" s="18">
        <v>6</v>
      </c>
      <c r="I133" s="18">
        <v>0</v>
      </c>
      <c r="J133" s="19">
        <f t="shared" si="15"/>
        <v>268.78</v>
      </c>
      <c r="K133" s="20">
        <v>268.78</v>
      </c>
      <c r="L133" s="20"/>
      <c r="M133" s="21">
        <v>137355.66</v>
      </c>
      <c r="N133" s="22">
        <v>91292.33</v>
      </c>
      <c r="O133" s="21">
        <f t="shared" si="16"/>
        <v>46063.33</v>
      </c>
      <c r="P133" s="23">
        <v>1920</v>
      </c>
      <c r="Q133" s="24" t="s">
        <v>24</v>
      </c>
      <c r="R133" s="24" t="s">
        <v>24</v>
      </c>
      <c r="S133" s="217"/>
      <c r="T133" s="211"/>
      <c r="U133" s="288">
        <v>2710</v>
      </c>
      <c r="V133" s="290">
        <f t="shared" si="14"/>
        <v>728393.7999999999</v>
      </c>
      <c r="W133" s="310"/>
    </row>
    <row r="134" spans="1:23" ht="12.75">
      <c r="A134" s="16">
        <f t="shared" si="12"/>
        <v>126</v>
      </c>
      <c r="B134" s="18">
        <v>3188</v>
      </c>
      <c r="C134" s="18"/>
      <c r="D134" s="17" t="s">
        <v>78</v>
      </c>
      <c r="E134" s="17" t="s">
        <v>84</v>
      </c>
      <c r="F134" s="18">
        <v>26</v>
      </c>
      <c r="G134" s="18">
        <f t="shared" si="17"/>
        <v>4</v>
      </c>
      <c r="H134" s="18">
        <v>4</v>
      </c>
      <c r="I134" s="18">
        <v>0</v>
      </c>
      <c r="J134" s="19">
        <f t="shared" si="15"/>
        <v>179.97</v>
      </c>
      <c r="K134" s="20">
        <v>179.97</v>
      </c>
      <c r="L134" s="20"/>
      <c r="M134" s="21">
        <v>26855.94</v>
      </c>
      <c r="N134" s="22">
        <v>15930.27</v>
      </c>
      <c r="O134" s="21">
        <f t="shared" si="16"/>
        <v>10925.669999999998</v>
      </c>
      <c r="P134" s="23">
        <v>1920</v>
      </c>
      <c r="Q134" s="24" t="s">
        <v>24</v>
      </c>
      <c r="R134" s="24" t="s">
        <v>24</v>
      </c>
      <c r="S134" s="218">
        <v>1984</v>
      </c>
      <c r="T134" s="211"/>
      <c r="U134" s="288">
        <v>2710</v>
      </c>
      <c r="V134" s="290">
        <f t="shared" si="14"/>
        <v>487718.7</v>
      </c>
      <c r="W134" s="310"/>
    </row>
    <row r="135" spans="1:23" ht="12.75">
      <c r="A135" s="16">
        <f t="shared" si="12"/>
        <v>127</v>
      </c>
      <c r="B135" s="18">
        <v>3189</v>
      </c>
      <c r="C135" s="18"/>
      <c r="D135" s="17" t="s">
        <v>78</v>
      </c>
      <c r="E135" s="17" t="s">
        <v>84</v>
      </c>
      <c r="F135" s="18">
        <v>29</v>
      </c>
      <c r="G135" s="18">
        <f t="shared" si="17"/>
        <v>3</v>
      </c>
      <c r="H135" s="18">
        <v>3</v>
      </c>
      <c r="I135" s="18">
        <v>0</v>
      </c>
      <c r="J135" s="19">
        <f t="shared" si="15"/>
        <v>112.47</v>
      </c>
      <c r="K135" s="20">
        <v>112.47</v>
      </c>
      <c r="L135" s="20"/>
      <c r="M135" s="21">
        <v>26029.99</v>
      </c>
      <c r="N135" s="22">
        <v>15109.79</v>
      </c>
      <c r="O135" s="21">
        <f t="shared" si="16"/>
        <v>10920.2</v>
      </c>
      <c r="P135" s="23">
        <v>1920</v>
      </c>
      <c r="Q135" s="24" t="s">
        <v>24</v>
      </c>
      <c r="R135" s="24" t="s">
        <v>24</v>
      </c>
      <c r="S135" s="217"/>
      <c r="T135" s="211"/>
      <c r="U135" s="288">
        <v>2710</v>
      </c>
      <c r="V135" s="290">
        <f t="shared" si="14"/>
        <v>304793.7</v>
      </c>
      <c r="W135" s="310"/>
    </row>
    <row r="136" spans="1:23" ht="12.75">
      <c r="A136" s="16">
        <f t="shared" si="12"/>
        <v>128</v>
      </c>
      <c r="B136" s="18">
        <v>3163</v>
      </c>
      <c r="C136" s="18"/>
      <c r="D136" s="17" t="s">
        <v>85</v>
      </c>
      <c r="E136" s="17" t="s">
        <v>86</v>
      </c>
      <c r="F136" s="18">
        <v>20</v>
      </c>
      <c r="G136" s="18">
        <f t="shared" si="17"/>
        <v>4</v>
      </c>
      <c r="H136" s="18">
        <v>4</v>
      </c>
      <c r="I136" s="18">
        <v>0</v>
      </c>
      <c r="J136" s="19">
        <f aca="true" t="shared" si="18" ref="J136:J143">SUM(K136:L136)</f>
        <v>163.97</v>
      </c>
      <c r="K136" s="20">
        <v>163.97</v>
      </c>
      <c r="L136" s="20"/>
      <c r="M136" s="21">
        <v>21941.36</v>
      </c>
      <c r="N136" s="22">
        <v>10504.65</v>
      </c>
      <c r="O136" s="21">
        <f aca="true" t="shared" si="19" ref="O136:O144">M136-N136</f>
        <v>11436.710000000001</v>
      </c>
      <c r="P136" s="23">
        <v>1896</v>
      </c>
      <c r="Q136" s="24" t="s">
        <v>24</v>
      </c>
      <c r="R136" s="24" t="s">
        <v>24</v>
      </c>
      <c r="S136" s="217"/>
      <c r="T136" s="211"/>
      <c r="U136" s="288">
        <v>2710</v>
      </c>
      <c r="V136" s="290">
        <f t="shared" si="14"/>
        <v>444358.7</v>
      </c>
      <c r="W136" s="310"/>
    </row>
    <row r="137" spans="1:23" ht="12.75">
      <c r="A137" s="191">
        <f t="shared" si="12"/>
        <v>129</v>
      </c>
      <c r="B137" s="336">
        <v>3162</v>
      </c>
      <c r="C137" s="336"/>
      <c r="D137" s="334" t="s">
        <v>87</v>
      </c>
      <c r="E137" s="335" t="s">
        <v>260</v>
      </c>
      <c r="F137" s="336">
        <v>1</v>
      </c>
      <c r="G137" s="336">
        <f t="shared" si="17"/>
        <v>1</v>
      </c>
      <c r="H137" s="336">
        <v>1</v>
      </c>
      <c r="I137" s="336">
        <v>0</v>
      </c>
      <c r="J137" s="195">
        <f t="shared" si="18"/>
        <v>88.1</v>
      </c>
      <c r="K137" s="195">
        <v>88.1</v>
      </c>
      <c r="L137" s="195"/>
      <c r="M137" s="338">
        <v>21893.21</v>
      </c>
      <c r="N137" s="339">
        <v>20334.27</v>
      </c>
      <c r="O137" s="338">
        <f t="shared" si="19"/>
        <v>1558.9399999999987</v>
      </c>
      <c r="P137" s="340">
        <v>1889</v>
      </c>
      <c r="Q137" s="341" t="s">
        <v>24</v>
      </c>
      <c r="R137" s="341" t="s">
        <v>24</v>
      </c>
      <c r="S137" s="246"/>
      <c r="T137" s="247"/>
      <c r="U137" s="288">
        <v>2710</v>
      </c>
      <c r="V137" s="290">
        <f t="shared" si="14"/>
        <v>238750.99999999997</v>
      </c>
      <c r="W137" s="310"/>
    </row>
    <row r="138" spans="1:23" ht="12.75">
      <c r="A138" s="16">
        <f aca="true" t="shared" si="20" ref="A138:A143">A137+1</f>
        <v>130</v>
      </c>
      <c r="B138" s="18">
        <v>2010</v>
      </c>
      <c r="C138" s="18"/>
      <c r="D138" s="17" t="s">
        <v>87</v>
      </c>
      <c r="E138" s="17" t="s">
        <v>83</v>
      </c>
      <c r="F138" s="18">
        <v>2</v>
      </c>
      <c r="G138" s="18">
        <f t="shared" si="17"/>
        <v>1</v>
      </c>
      <c r="H138" s="18">
        <v>1</v>
      </c>
      <c r="I138" s="18">
        <v>0</v>
      </c>
      <c r="J138" s="19">
        <f t="shared" si="18"/>
        <v>83.44</v>
      </c>
      <c r="K138" s="20">
        <f>75.8+7.64</f>
        <v>83.44</v>
      </c>
      <c r="L138" s="20"/>
      <c r="M138" s="21">
        <v>10761.36</v>
      </c>
      <c r="N138" s="22">
        <v>3335.79</v>
      </c>
      <c r="O138" s="21">
        <f t="shared" si="19"/>
        <v>7425.570000000001</v>
      </c>
      <c r="P138" s="23">
        <v>1920</v>
      </c>
      <c r="Q138" s="24" t="s">
        <v>24</v>
      </c>
      <c r="R138" s="24" t="s">
        <v>24</v>
      </c>
      <c r="S138" s="217"/>
      <c r="T138" s="211"/>
      <c r="U138" s="288">
        <v>2710</v>
      </c>
      <c r="V138" s="290">
        <f t="shared" si="14"/>
        <v>226122.4</v>
      </c>
      <c r="W138" s="310"/>
    </row>
    <row r="139" spans="1:23" ht="12.75">
      <c r="A139" s="16">
        <f t="shared" si="20"/>
        <v>131</v>
      </c>
      <c r="B139" s="18">
        <v>2006</v>
      </c>
      <c r="C139" s="18"/>
      <c r="D139" s="17" t="s">
        <v>88</v>
      </c>
      <c r="E139" s="17" t="s">
        <v>89</v>
      </c>
      <c r="F139" s="18">
        <v>13</v>
      </c>
      <c r="G139" s="18">
        <f t="shared" si="17"/>
        <v>1</v>
      </c>
      <c r="H139" s="18">
        <v>1</v>
      </c>
      <c r="I139" s="18">
        <v>0</v>
      </c>
      <c r="J139" s="19">
        <f t="shared" si="18"/>
        <v>71.63</v>
      </c>
      <c r="K139" s="20">
        <v>71.63</v>
      </c>
      <c r="L139" s="20"/>
      <c r="M139" s="21">
        <v>54634.94</v>
      </c>
      <c r="N139" s="22">
        <v>41859.71</v>
      </c>
      <c r="O139" s="21">
        <f t="shared" si="19"/>
        <v>12775.230000000003</v>
      </c>
      <c r="P139" s="23">
        <v>1960</v>
      </c>
      <c r="Q139" s="24" t="s">
        <v>24</v>
      </c>
      <c r="R139" s="24" t="s">
        <v>24</v>
      </c>
      <c r="S139" s="217"/>
      <c r="T139" s="211"/>
      <c r="U139" s="288">
        <v>2710</v>
      </c>
      <c r="V139" s="290">
        <f t="shared" si="14"/>
        <v>194117.3</v>
      </c>
      <c r="W139" s="310"/>
    </row>
    <row r="140" spans="1:23" ht="12.75">
      <c r="A140" s="16">
        <f t="shared" si="20"/>
        <v>132</v>
      </c>
      <c r="B140" s="47">
        <v>3205</v>
      </c>
      <c r="C140" s="47"/>
      <c r="D140" s="48" t="s">
        <v>90</v>
      </c>
      <c r="E140" s="48" t="s">
        <v>91</v>
      </c>
      <c r="F140" s="47">
        <v>12</v>
      </c>
      <c r="G140" s="18">
        <f t="shared" si="17"/>
        <v>3</v>
      </c>
      <c r="H140" s="18">
        <v>3</v>
      </c>
      <c r="I140" s="18">
        <v>0</v>
      </c>
      <c r="J140" s="19">
        <f t="shared" si="18"/>
        <v>157.07</v>
      </c>
      <c r="K140" s="49">
        <f>149.98+7.09</f>
        <v>157.07</v>
      </c>
      <c r="L140" s="49"/>
      <c r="M140" s="21">
        <v>16889.86</v>
      </c>
      <c r="N140" s="22">
        <v>4594.12</v>
      </c>
      <c r="O140" s="21">
        <f t="shared" si="19"/>
        <v>12295.740000000002</v>
      </c>
      <c r="P140" s="23">
        <v>1930</v>
      </c>
      <c r="Q140" s="24" t="s">
        <v>24</v>
      </c>
      <c r="R140" s="24" t="s">
        <v>24</v>
      </c>
      <c r="S140" s="217"/>
      <c r="T140" s="211"/>
      <c r="U140" s="288">
        <v>2710</v>
      </c>
      <c r="V140" s="290">
        <f t="shared" si="14"/>
        <v>425659.69999999995</v>
      </c>
      <c r="W140" s="310"/>
    </row>
    <row r="141" spans="1:23" ht="12.75">
      <c r="A141" s="16">
        <f t="shared" si="20"/>
        <v>133</v>
      </c>
      <c r="B141" s="47">
        <v>3206</v>
      </c>
      <c r="C141" s="47"/>
      <c r="D141" s="48"/>
      <c r="E141" s="48" t="s">
        <v>92</v>
      </c>
      <c r="F141" s="47" t="s">
        <v>93</v>
      </c>
      <c r="G141" s="18">
        <f t="shared" si="17"/>
        <v>1</v>
      </c>
      <c r="H141" s="18">
        <v>1</v>
      </c>
      <c r="I141" s="18"/>
      <c r="J141" s="19">
        <f t="shared" si="18"/>
        <v>73.3</v>
      </c>
      <c r="K141" s="49">
        <v>73.3</v>
      </c>
      <c r="L141" s="49"/>
      <c r="M141" s="21">
        <v>18211.01</v>
      </c>
      <c r="N141" s="22">
        <v>18211.01</v>
      </c>
      <c r="O141" s="21">
        <f t="shared" si="19"/>
        <v>0</v>
      </c>
      <c r="P141" s="23"/>
      <c r="Q141" s="24"/>
      <c r="R141" s="24"/>
      <c r="S141" s="217"/>
      <c r="T141" s="211"/>
      <c r="U141" s="288">
        <v>2710</v>
      </c>
      <c r="V141" s="290">
        <f t="shared" si="14"/>
        <v>198643</v>
      </c>
      <c r="W141" s="310"/>
    </row>
    <row r="142" spans="1:23" s="53" customFormat="1" ht="12.75">
      <c r="A142" s="16">
        <f t="shared" si="20"/>
        <v>134</v>
      </c>
      <c r="B142" s="50">
        <v>3211</v>
      </c>
      <c r="C142" s="50"/>
      <c r="D142" s="51" t="s">
        <v>22</v>
      </c>
      <c r="E142" s="51" t="s">
        <v>94</v>
      </c>
      <c r="F142" s="50">
        <v>32</v>
      </c>
      <c r="G142" s="18">
        <f t="shared" si="17"/>
        <v>4</v>
      </c>
      <c r="H142" s="28">
        <v>3</v>
      </c>
      <c r="I142" s="28">
        <v>1</v>
      </c>
      <c r="J142" s="19">
        <f t="shared" si="18"/>
        <v>199.82</v>
      </c>
      <c r="K142" s="52">
        <v>154.1</v>
      </c>
      <c r="L142" s="52">
        <v>45.72</v>
      </c>
      <c r="M142" s="37">
        <v>425.11</v>
      </c>
      <c r="N142" s="38">
        <v>2.12</v>
      </c>
      <c r="O142" s="37">
        <f t="shared" si="19"/>
        <v>422.99</v>
      </c>
      <c r="P142" s="39"/>
      <c r="Q142" s="40"/>
      <c r="R142" s="40"/>
      <c r="S142" s="233"/>
      <c r="T142" s="212"/>
      <c r="U142" s="289">
        <v>2710</v>
      </c>
      <c r="V142" s="290">
        <f t="shared" si="14"/>
        <v>541512.2</v>
      </c>
      <c r="W142" s="311"/>
    </row>
    <row r="143" spans="1:23" ht="12.75">
      <c r="A143" s="16">
        <f t="shared" si="20"/>
        <v>135</v>
      </c>
      <c r="B143" s="47">
        <v>3214</v>
      </c>
      <c r="C143" s="47"/>
      <c r="D143" s="48" t="s">
        <v>22</v>
      </c>
      <c r="E143" s="48" t="s">
        <v>71</v>
      </c>
      <c r="F143" s="47">
        <v>15</v>
      </c>
      <c r="G143" s="18">
        <f t="shared" si="17"/>
        <v>4</v>
      </c>
      <c r="H143" s="18">
        <v>4</v>
      </c>
      <c r="I143" s="18">
        <v>0</v>
      </c>
      <c r="J143" s="19">
        <f t="shared" si="18"/>
        <v>164.2</v>
      </c>
      <c r="K143" s="52">
        <v>164.2</v>
      </c>
      <c r="L143" s="52"/>
      <c r="M143" s="21">
        <v>20649.2</v>
      </c>
      <c r="N143" s="22">
        <v>20649.2</v>
      </c>
      <c r="O143" s="21">
        <f t="shared" si="19"/>
        <v>0</v>
      </c>
      <c r="P143" s="23"/>
      <c r="Q143" s="24"/>
      <c r="R143" s="24"/>
      <c r="S143" s="217"/>
      <c r="T143" s="211"/>
      <c r="U143" s="288">
        <v>2710</v>
      </c>
      <c r="V143" s="290">
        <f t="shared" si="14"/>
        <v>444981.99999999994</v>
      </c>
      <c r="W143" s="211"/>
    </row>
    <row r="144" spans="1:23" ht="12.75">
      <c r="A144" s="466" t="s">
        <v>95</v>
      </c>
      <c r="B144" s="466"/>
      <c r="C144" s="466"/>
      <c r="D144" s="466"/>
      <c r="E144" s="466"/>
      <c r="F144" s="24"/>
      <c r="G144" s="54">
        <f aca="true" t="shared" si="21" ref="G144:N144">SUM(G9:G143)</f>
        <v>1039</v>
      </c>
      <c r="H144" s="55">
        <f t="shared" si="21"/>
        <v>956</v>
      </c>
      <c r="I144" s="55">
        <f t="shared" si="21"/>
        <v>83</v>
      </c>
      <c r="J144" s="56">
        <f t="shared" si="21"/>
        <v>47081.56999999999</v>
      </c>
      <c r="K144" s="57">
        <f t="shared" si="21"/>
        <v>42881.209999999985</v>
      </c>
      <c r="L144" s="57">
        <f t="shared" si="21"/>
        <v>4200.360000000001</v>
      </c>
      <c r="M144" s="294">
        <f t="shared" si="21"/>
        <v>27517177.61000001</v>
      </c>
      <c r="N144" s="57">
        <f t="shared" si="21"/>
        <v>12516160.7</v>
      </c>
      <c r="O144" s="57">
        <f t="shared" si="19"/>
        <v>15001016.910000011</v>
      </c>
      <c r="P144" s="58"/>
      <c r="Q144" s="59"/>
      <c r="R144" s="24"/>
      <c r="S144" s="217"/>
      <c r="T144" s="213"/>
      <c r="U144" s="287"/>
      <c r="V144" s="308">
        <f>SUM(V9:V143)</f>
        <v>121542416</v>
      </c>
      <c r="W144" s="211"/>
    </row>
    <row r="145" spans="1:20" ht="12.75">
      <c r="A145" s="61"/>
      <c r="B145" s="61"/>
      <c r="C145" s="61"/>
      <c r="D145" s="61"/>
      <c r="E145" s="62"/>
      <c r="F145" s="63"/>
      <c r="G145" s="63"/>
      <c r="H145" s="63"/>
      <c r="I145" s="63"/>
      <c r="J145" s="64"/>
      <c r="K145" s="64"/>
      <c r="L145" s="64"/>
      <c r="M145" s="64"/>
      <c r="N145" s="65"/>
      <c r="O145" s="64"/>
      <c r="P145" s="66"/>
      <c r="Q145" s="60"/>
      <c r="S145" s="235"/>
      <c r="T145" s="60"/>
    </row>
    <row r="146" spans="1:20" ht="12.75">
      <c r="A146" s="67"/>
      <c r="B146" s="67"/>
      <c r="C146" s="67"/>
      <c r="D146" s="67"/>
      <c r="E146" s="68"/>
      <c r="F146" s="2"/>
      <c r="G146" s="2"/>
      <c r="H146" s="2"/>
      <c r="I146" s="2"/>
      <c r="J146" s="69"/>
      <c r="K146" s="69"/>
      <c r="L146" s="69"/>
      <c r="M146" s="69"/>
      <c r="N146" s="70"/>
      <c r="O146" s="69"/>
      <c r="P146" s="66"/>
      <c r="Q146" s="60"/>
      <c r="S146" s="235"/>
      <c r="T146" s="60"/>
    </row>
    <row r="147" spans="1:20" ht="12.75">
      <c r="A147" s="500" t="s">
        <v>166</v>
      </c>
      <c r="B147" s="500"/>
      <c r="C147" s="500"/>
      <c r="D147" s="500"/>
      <c r="E147" s="500"/>
      <c r="F147" s="2"/>
      <c r="G147" s="2"/>
      <c r="H147" s="2"/>
      <c r="I147" s="2"/>
      <c r="J147" s="69"/>
      <c r="K147" s="69"/>
      <c r="L147" s="69"/>
      <c r="M147" s="69"/>
      <c r="N147" s="70"/>
      <c r="O147" s="69"/>
      <c r="P147" s="66"/>
      <c r="Q147" s="60"/>
      <c r="S147" s="235"/>
      <c r="T147" s="60"/>
    </row>
    <row r="148" spans="1:20" ht="12.75">
      <c r="A148" s="67"/>
      <c r="B148" s="67"/>
      <c r="C148" s="67"/>
      <c r="D148" s="67"/>
      <c r="E148" s="68"/>
      <c r="F148" s="2"/>
      <c r="G148" s="2"/>
      <c r="H148" s="2"/>
      <c r="I148" s="2"/>
      <c r="J148" s="69"/>
      <c r="K148" s="69"/>
      <c r="L148" s="69"/>
      <c r="M148" s="69"/>
      <c r="N148" s="70"/>
      <c r="O148" s="69"/>
      <c r="P148" s="66"/>
      <c r="Q148" s="60"/>
      <c r="S148" s="235"/>
      <c r="T148" s="60"/>
    </row>
    <row r="149" spans="1:23" ht="12.75">
      <c r="A149" s="423">
        <f>A148+1</f>
        <v>1</v>
      </c>
      <c r="B149" s="440">
        <v>1006</v>
      </c>
      <c r="C149" s="424">
        <v>1</v>
      </c>
      <c r="D149" s="425" t="s">
        <v>22</v>
      </c>
      <c r="E149" s="425" t="s">
        <v>26</v>
      </c>
      <c r="F149" s="426" t="s">
        <v>99</v>
      </c>
      <c r="G149" s="427">
        <f aca="true" t="shared" si="22" ref="G149:G180">I149+H149</f>
        <v>9</v>
      </c>
      <c r="H149" s="426">
        <v>9</v>
      </c>
      <c r="I149" s="426">
        <v>0</v>
      </c>
      <c r="J149" s="428">
        <f aca="true" t="shared" si="23" ref="J149:J180">SUM(K149:L149)</f>
        <v>613.58</v>
      </c>
      <c r="K149" s="429">
        <v>613.58</v>
      </c>
      <c r="L149" s="429"/>
      <c r="M149" s="322">
        <v>82815.89</v>
      </c>
      <c r="N149" s="430">
        <v>31089.7</v>
      </c>
      <c r="O149" s="322">
        <f aca="true" t="shared" si="24" ref="O149:O180">M149-N149</f>
        <v>51726.19</v>
      </c>
      <c r="P149" s="303">
        <v>1935</v>
      </c>
      <c r="Q149" s="431" t="s">
        <v>24</v>
      </c>
      <c r="R149" s="431" t="s">
        <v>24</v>
      </c>
      <c r="S149" s="378"/>
      <c r="T149" s="211"/>
      <c r="U149" s="288">
        <v>2710</v>
      </c>
      <c r="V149" s="290">
        <f aca="true" t="shared" si="25" ref="V149:V183">J149*U149</f>
        <v>1662801.8</v>
      </c>
      <c r="W149" s="211"/>
    </row>
    <row r="150" spans="1:23" ht="12.75">
      <c r="A150" s="423">
        <f>A149+1</f>
        <v>2</v>
      </c>
      <c r="B150" s="440">
        <v>1018</v>
      </c>
      <c r="C150" s="424">
        <v>2</v>
      </c>
      <c r="D150" s="425" t="s">
        <v>22</v>
      </c>
      <c r="E150" s="425" t="s">
        <v>102</v>
      </c>
      <c r="F150" s="426" t="s">
        <v>103</v>
      </c>
      <c r="G150" s="427">
        <f t="shared" si="22"/>
        <v>5</v>
      </c>
      <c r="H150" s="426">
        <v>5</v>
      </c>
      <c r="I150" s="426">
        <v>0</v>
      </c>
      <c r="J150" s="428">
        <f t="shared" si="23"/>
        <v>344.48</v>
      </c>
      <c r="K150" s="432">
        <f>291.75+52.73</f>
        <v>344.48</v>
      </c>
      <c r="L150" s="429"/>
      <c r="M150" s="322">
        <v>18323.56</v>
      </c>
      <c r="N150" s="430">
        <v>5086.17</v>
      </c>
      <c r="O150" s="322">
        <f t="shared" si="24"/>
        <v>13237.390000000001</v>
      </c>
      <c r="P150" s="303">
        <v>1928</v>
      </c>
      <c r="Q150" s="431" t="s">
        <v>24</v>
      </c>
      <c r="R150" s="431" t="s">
        <v>24</v>
      </c>
      <c r="S150" s="378"/>
      <c r="T150" s="211"/>
      <c r="U150" s="288">
        <v>2710</v>
      </c>
      <c r="V150" s="290">
        <f t="shared" si="25"/>
        <v>933540.8</v>
      </c>
      <c r="W150" s="211"/>
    </row>
    <row r="151" spans="1:23" ht="12.75">
      <c r="A151" s="423">
        <f aca="true" t="shared" si="26" ref="A151:A214">A150+1</f>
        <v>3</v>
      </c>
      <c r="B151" s="441">
        <v>1030</v>
      </c>
      <c r="C151" s="433">
        <v>3</v>
      </c>
      <c r="D151" s="434" t="s">
        <v>22</v>
      </c>
      <c r="E151" s="434" t="s">
        <v>27</v>
      </c>
      <c r="F151" s="435" t="s">
        <v>105</v>
      </c>
      <c r="G151" s="427">
        <f t="shared" si="22"/>
        <v>21</v>
      </c>
      <c r="H151" s="426">
        <v>21</v>
      </c>
      <c r="I151" s="426">
        <f>1-1</f>
        <v>0</v>
      </c>
      <c r="J151" s="428">
        <f t="shared" si="23"/>
        <v>1542.37</v>
      </c>
      <c r="K151" s="429">
        <f>1528.31+14.06</f>
        <v>1542.37</v>
      </c>
      <c r="L151" s="429">
        <f>14.06-14.06</f>
        <v>0</v>
      </c>
      <c r="M151" s="322">
        <v>399896.82</v>
      </c>
      <c r="N151" s="430">
        <v>185060.92</v>
      </c>
      <c r="O151" s="322">
        <f t="shared" si="24"/>
        <v>214835.9</v>
      </c>
      <c r="P151" s="303">
        <v>1935</v>
      </c>
      <c r="Q151" s="431" t="s">
        <v>24</v>
      </c>
      <c r="R151" s="431" t="s">
        <v>24</v>
      </c>
      <c r="S151" s="378"/>
      <c r="T151" s="211"/>
      <c r="U151" s="288">
        <v>2710</v>
      </c>
      <c r="V151" s="290">
        <f t="shared" si="25"/>
        <v>4179822.6999999997</v>
      </c>
      <c r="W151" s="211"/>
    </row>
    <row r="152" spans="1:23" ht="12.75">
      <c r="A152" s="423">
        <f t="shared" si="26"/>
        <v>4</v>
      </c>
      <c r="B152" s="440">
        <v>1037</v>
      </c>
      <c r="C152" s="424">
        <v>4</v>
      </c>
      <c r="D152" s="425" t="s">
        <v>22</v>
      </c>
      <c r="E152" s="425" t="s">
        <v>110</v>
      </c>
      <c r="F152" s="426" t="s">
        <v>111</v>
      </c>
      <c r="G152" s="427">
        <f t="shared" si="22"/>
        <v>31</v>
      </c>
      <c r="H152" s="426">
        <v>29</v>
      </c>
      <c r="I152" s="426">
        <v>2</v>
      </c>
      <c r="J152" s="428">
        <f t="shared" si="23"/>
        <v>1821.36</v>
      </c>
      <c r="K152" s="429">
        <v>1656.56</v>
      </c>
      <c r="L152" s="429">
        <v>164.8</v>
      </c>
      <c r="M152" s="322">
        <v>294387.39</v>
      </c>
      <c r="N152" s="430">
        <v>286073.65</v>
      </c>
      <c r="O152" s="322">
        <f t="shared" si="24"/>
        <v>8313.73999999999</v>
      </c>
      <c r="P152" s="303">
        <v>1935</v>
      </c>
      <c r="Q152" s="431" t="s">
        <v>24</v>
      </c>
      <c r="R152" s="431" t="s">
        <v>24</v>
      </c>
      <c r="S152" s="378"/>
      <c r="T152" s="211"/>
      <c r="U152" s="288">
        <v>2710</v>
      </c>
      <c r="V152" s="290">
        <f t="shared" si="25"/>
        <v>4935885.6</v>
      </c>
      <c r="W152" s="211"/>
    </row>
    <row r="153" spans="1:23" ht="12.75">
      <c r="A153" s="423">
        <f t="shared" si="26"/>
        <v>5</v>
      </c>
      <c r="B153" s="442">
        <v>1054</v>
      </c>
      <c r="C153" s="415">
        <v>5</v>
      </c>
      <c r="D153" s="416" t="s">
        <v>22</v>
      </c>
      <c r="E153" s="416" t="s">
        <v>119</v>
      </c>
      <c r="F153" s="417">
        <v>27</v>
      </c>
      <c r="G153" s="418">
        <f t="shared" si="22"/>
        <v>9</v>
      </c>
      <c r="H153" s="417">
        <v>9</v>
      </c>
      <c r="I153" s="417">
        <v>0</v>
      </c>
      <c r="J153" s="419">
        <f t="shared" si="23"/>
        <v>468.52</v>
      </c>
      <c r="K153" s="420">
        <f>467.68+0.84</f>
        <v>468.52</v>
      </c>
      <c r="L153" s="420"/>
      <c r="M153" s="143">
        <v>53352.99</v>
      </c>
      <c r="N153" s="299">
        <v>51975.32</v>
      </c>
      <c r="O153" s="143">
        <f t="shared" si="24"/>
        <v>1377.6699999999983</v>
      </c>
      <c r="P153" s="373">
        <v>1928</v>
      </c>
      <c r="Q153" s="298" t="s">
        <v>24</v>
      </c>
      <c r="R153" s="298" t="s">
        <v>24</v>
      </c>
      <c r="S153" s="257" t="s">
        <v>250</v>
      </c>
      <c r="T153" s="260" t="s">
        <v>255</v>
      </c>
      <c r="U153" s="421">
        <v>2710</v>
      </c>
      <c r="V153" s="422">
        <f t="shared" si="25"/>
        <v>1269689.2</v>
      </c>
      <c r="W153" s="260"/>
    </row>
    <row r="154" spans="1:23" ht="12.75">
      <c r="A154" s="423">
        <f t="shared" si="26"/>
        <v>6</v>
      </c>
      <c r="B154" s="443">
        <v>1088</v>
      </c>
      <c r="C154" s="84">
        <v>6</v>
      </c>
      <c r="D154" s="27" t="s">
        <v>22</v>
      </c>
      <c r="E154" s="27" t="s">
        <v>131</v>
      </c>
      <c r="F154" s="28" t="s">
        <v>103</v>
      </c>
      <c r="G154" s="74">
        <f t="shared" si="22"/>
        <v>20</v>
      </c>
      <c r="H154" s="28">
        <f>18+1+1</f>
        <v>20</v>
      </c>
      <c r="I154" s="28">
        <v>0</v>
      </c>
      <c r="J154" s="19">
        <f t="shared" si="23"/>
        <v>708.03</v>
      </c>
      <c r="K154" s="25">
        <v>708.03</v>
      </c>
      <c r="L154" s="25"/>
      <c r="M154" s="21">
        <v>172286.16</v>
      </c>
      <c r="N154" s="22">
        <v>39965.07</v>
      </c>
      <c r="O154" s="21">
        <f t="shared" si="24"/>
        <v>132321.09</v>
      </c>
      <c r="P154" s="23">
        <v>1928</v>
      </c>
      <c r="Q154" s="24" t="s">
        <v>24</v>
      </c>
      <c r="R154" s="24" t="s">
        <v>24</v>
      </c>
      <c r="S154" s="217"/>
      <c r="T154" s="211"/>
      <c r="U154" s="288">
        <v>2710</v>
      </c>
      <c r="V154" s="290">
        <f t="shared" si="25"/>
        <v>1918761.2999999998</v>
      </c>
      <c r="W154" s="211"/>
    </row>
    <row r="155" spans="1:23" ht="12.75">
      <c r="A155" s="423">
        <f t="shared" si="26"/>
        <v>7</v>
      </c>
      <c r="B155" s="443">
        <v>3096</v>
      </c>
      <c r="C155" s="84">
        <v>7</v>
      </c>
      <c r="D155" s="27" t="s">
        <v>22</v>
      </c>
      <c r="E155" s="27" t="s">
        <v>55</v>
      </c>
      <c r="F155" s="28">
        <v>15</v>
      </c>
      <c r="G155" s="74">
        <f t="shared" si="22"/>
        <v>6</v>
      </c>
      <c r="H155" s="28">
        <v>6</v>
      </c>
      <c r="I155" s="28">
        <v>0</v>
      </c>
      <c r="J155" s="19">
        <f t="shared" si="23"/>
        <v>370.04</v>
      </c>
      <c r="K155" s="25">
        <v>370.04</v>
      </c>
      <c r="L155" s="25"/>
      <c r="M155" s="21">
        <v>80646.09</v>
      </c>
      <c r="N155" s="22">
        <v>74643.32</v>
      </c>
      <c r="O155" s="21">
        <f t="shared" si="24"/>
        <v>6002.7699999999895</v>
      </c>
      <c r="P155" s="23">
        <v>1925</v>
      </c>
      <c r="Q155" s="24" t="s">
        <v>24</v>
      </c>
      <c r="R155" s="24" t="s">
        <v>24</v>
      </c>
      <c r="S155" s="217"/>
      <c r="T155" s="211"/>
      <c r="U155" s="288">
        <v>2710</v>
      </c>
      <c r="V155" s="290">
        <f t="shared" si="25"/>
        <v>1002808.4</v>
      </c>
      <c r="W155" s="211"/>
    </row>
    <row r="156" spans="1:23" ht="12.75">
      <c r="A156" s="423">
        <f t="shared" si="26"/>
        <v>8</v>
      </c>
      <c r="B156" s="443">
        <v>1093</v>
      </c>
      <c r="C156" s="84">
        <v>8</v>
      </c>
      <c r="D156" s="27" t="s">
        <v>22</v>
      </c>
      <c r="E156" s="27" t="s">
        <v>128</v>
      </c>
      <c r="F156" s="269" t="s">
        <v>129</v>
      </c>
      <c r="G156" s="74">
        <f t="shared" si="22"/>
        <v>15</v>
      </c>
      <c r="H156" s="269">
        <v>15</v>
      </c>
      <c r="I156" s="269">
        <v>0</v>
      </c>
      <c r="J156" s="173">
        <f t="shared" si="23"/>
        <v>966.46</v>
      </c>
      <c r="K156" s="25">
        <v>966.46</v>
      </c>
      <c r="L156" s="25"/>
      <c r="M156" s="38">
        <v>156398.04</v>
      </c>
      <c r="N156" s="270"/>
      <c r="O156" s="37">
        <f t="shared" si="24"/>
        <v>156398.04</v>
      </c>
      <c r="P156" s="39">
        <v>1935</v>
      </c>
      <c r="Q156" s="40" t="s">
        <v>24</v>
      </c>
      <c r="R156" s="40" t="s">
        <v>24</v>
      </c>
      <c r="S156" s="233"/>
      <c r="T156" s="212"/>
      <c r="U156" s="289">
        <v>2710</v>
      </c>
      <c r="V156" s="344">
        <f t="shared" si="25"/>
        <v>2619106.6</v>
      </c>
      <c r="W156" s="212"/>
    </row>
    <row r="157" spans="1:23" ht="12.75">
      <c r="A157" s="423">
        <f t="shared" si="26"/>
        <v>9</v>
      </c>
      <c r="B157" s="443">
        <v>1067</v>
      </c>
      <c r="C157" s="84">
        <v>9</v>
      </c>
      <c r="D157" s="27" t="s">
        <v>22</v>
      </c>
      <c r="E157" s="27" t="s">
        <v>140</v>
      </c>
      <c r="F157" s="28" t="s">
        <v>144</v>
      </c>
      <c r="G157" s="74">
        <f t="shared" si="22"/>
        <v>18</v>
      </c>
      <c r="H157" s="28">
        <v>18</v>
      </c>
      <c r="I157" s="28">
        <v>0</v>
      </c>
      <c r="J157" s="19">
        <f t="shared" si="23"/>
        <v>751.84</v>
      </c>
      <c r="K157" s="25">
        <v>751.84</v>
      </c>
      <c r="L157" s="25"/>
      <c r="M157" s="21">
        <v>51559.27</v>
      </c>
      <c r="N157" s="22">
        <v>29182.39</v>
      </c>
      <c r="O157" s="21">
        <f t="shared" si="24"/>
        <v>22376.879999999997</v>
      </c>
      <c r="P157" s="23">
        <v>1962</v>
      </c>
      <c r="Q157" s="24"/>
      <c r="R157" s="24"/>
      <c r="S157" s="217"/>
      <c r="T157" s="211"/>
      <c r="U157" s="288">
        <v>2710</v>
      </c>
      <c r="V157" s="290">
        <f t="shared" si="25"/>
        <v>2037486.4000000001</v>
      </c>
      <c r="W157" s="211"/>
    </row>
    <row r="158" spans="1:23" ht="12.75">
      <c r="A158" s="423">
        <f t="shared" si="26"/>
        <v>10</v>
      </c>
      <c r="B158" s="443">
        <v>1098</v>
      </c>
      <c r="C158" s="84">
        <v>10</v>
      </c>
      <c r="D158" s="27" t="s">
        <v>22</v>
      </c>
      <c r="E158" s="27" t="s">
        <v>135</v>
      </c>
      <c r="F158" s="28" t="s">
        <v>137</v>
      </c>
      <c r="G158" s="74">
        <f t="shared" si="22"/>
        <v>25</v>
      </c>
      <c r="H158" s="28">
        <v>25</v>
      </c>
      <c r="I158" s="28">
        <v>0</v>
      </c>
      <c r="J158" s="19">
        <f t="shared" si="23"/>
        <v>1425.34</v>
      </c>
      <c r="K158" s="25">
        <v>1425.34</v>
      </c>
      <c r="L158" s="25"/>
      <c r="M158" s="21">
        <v>195113.84</v>
      </c>
      <c r="N158" s="22">
        <v>178190.13</v>
      </c>
      <c r="O158" s="21">
        <f t="shared" si="24"/>
        <v>16923.709999999992</v>
      </c>
      <c r="P158" s="23">
        <v>1935</v>
      </c>
      <c r="Q158" s="24" t="s">
        <v>24</v>
      </c>
      <c r="R158" s="24" t="s">
        <v>24</v>
      </c>
      <c r="S158" s="217"/>
      <c r="T158" s="211"/>
      <c r="U158" s="288">
        <v>2710</v>
      </c>
      <c r="V158" s="290">
        <f t="shared" si="25"/>
        <v>3862671.4</v>
      </c>
      <c r="W158" s="211"/>
    </row>
    <row r="159" spans="1:23" ht="12.75">
      <c r="A159" s="423">
        <f t="shared" si="26"/>
        <v>11</v>
      </c>
      <c r="B159" s="443">
        <v>1099</v>
      </c>
      <c r="C159" s="84">
        <v>11</v>
      </c>
      <c r="D159" s="27" t="s">
        <v>22</v>
      </c>
      <c r="E159" s="27" t="s">
        <v>145</v>
      </c>
      <c r="F159" s="269" t="s">
        <v>146</v>
      </c>
      <c r="G159" s="74">
        <f t="shared" si="22"/>
        <v>61</v>
      </c>
      <c r="H159" s="269">
        <v>56</v>
      </c>
      <c r="I159" s="269">
        <v>5</v>
      </c>
      <c r="J159" s="173">
        <f t="shared" si="23"/>
        <v>2620.8399999999997</v>
      </c>
      <c r="K159" s="25">
        <v>2216.74</v>
      </c>
      <c r="L159" s="25">
        <v>404.1</v>
      </c>
      <c r="M159" s="38">
        <v>261105.59</v>
      </c>
      <c r="N159" s="270"/>
      <c r="O159" s="37">
        <f t="shared" si="24"/>
        <v>261105.59</v>
      </c>
      <c r="P159" s="39">
        <v>1967</v>
      </c>
      <c r="Q159" s="271"/>
      <c r="R159" s="40"/>
      <c r="S159" s="233"/>
      <c r="T159" s="212"/>
      <c r="U159" s="289">
        <v>2710</v>
      </c>
      <c r="V159" s="344">
        <f t="shared" si="25"/>
        <v>7102476.399999999</v>
      </c>
      <c r="W159" s="212"/>
    </row>
    <row r="160" spans="1:23" ht="12.75">
      <c r="A160" s="423">
        <f t="shared" si="26"/>
        <v>12</v>
      </c>
      <c r="B160" s="443">
        <v>1109</v>
      </c>
      <c r="C160" s="84">
        <v>13</v>
      </c>
      <c r="D160" s="27" t="s">
        <v>22</v>
      </c>
      <c r="E160" s="27" t="s">
        <v>140</v>
      </c>
      <c r="F160" s="28" t="s">
        <v>142</v>
      </c>
      <c r="G160" s="74">
        <f t="shared" si="22"/>
        <v>18</v>
      </c>
      <c r="H160" s="28">
        <v>18</v>
      </c>
      <c r="I160" s="28">
        <v>0</v>
      </c>
      <c r="J160" s="173">
        <f t="shared" si="23"/>
        <v>896.81</v>
      </c>
      <c r="K160" s="25">
        <v>896.81</v>
      </c>
      <c r="L160" s="25"/>
      <c r="M160" s="37">
        <v>61682.4</v>
      </c>
      <c r="N160" s="38">
        <v>45464.39</v>
      </c>
      <c r="O160" s="37">
        <f t="shared" si="24"/>
        <v>16218.010000000002</v>
      </c>
      <c r="P160" s="39">
        <v>1961</v>
      </c>
      <c r="Q160" s="40"/>
      <c r="R160" s="40"/>
      <c r="S160" s="233"/>
      <c r="T160" s="212"/>
      <c r="U160" s="289">
        <v>2710</v>
      </c>
      <c r="V160" s="344">
        <f t="shared" si="25"/>
        <v>2430355.0999999996</v>
      </c>
      <c r="W160" s="211"/>
    </row>
    <row r="161" spans="1:23" ht="12.75">
      <c r="A161" s="423">
        <f t="shared" si="26"/>
        <v>13</v>
      </c>
      <c r="B161" s="444">
        <v>1112</v>
      </c>
      <c r="C161" s="367">
        <v>14</v>
      </c>
      <c r="D161" s="27" t="s">
        <v>22</v>
      </c>
      <c r="E161" s="27" t="s">
        <v>153</v>
      </c>
      <c r="F161" s="269" t="s">
        <v>154</v>
      </c>
      <c r="G161" s="74">
        <f t="shared" si="22"/>
        <v>55</v>
      </c>
      <c r="H161" s="269">
        <v>54</v>
      </c>
      <c r="I161" s="269">
        <v>1</v>
      </c>
      <c r="J161" s="173">
        <f t="shared" si="23"/>
        <v>3311.5</v>
      </c>
      <c r="K161" s="25">
        <v>3238.13</v>
      </c>
      <c r="L161" s="25">
        <v>73.37</v>
      </c>
      <c r="M161" s="37">
        <v>1003528.42</v>
      </c>
      <c r="N161" s="270"/>
      <c r="O161" s="37">
        <f t="shared" si="24"/>
        <v>1003528.42</v>
      </c>
      <c r="P161" s="39">
        <v>1994</v>
      </c>
      <c r="Q161" s="271"/>
      <c r="R161" s="40"/>
      <c r="S161" s="233"/>
      <c r="T161" s="212"/>
      <c r="U161" s="288">
        <v>2710</v>
      </c>
      <c r="V161" s="290">
        <f t="shared" si="25"/>
        <v>8974165</v>
      </c>
      <c r="W161" s="211"/>
    </row>
    <row r="162" spans="1:23" ht="12.75">
      <c r="A162" s="423">
        <f t="shared" si="26"/>
        <v>14</v>
      </c>
      <c r="B162" s="110">
        <v>1107</v>
      </c>
      <c r="C162" s="367">
        <v>15</v>
      </c>
      <c r="D162" s="27" t="s">
        <v>22</v>
      </c>
      <c r="E162" s="27" t="s">
        <v>155</v>
      </c>
      <c r="F162" s="28">
        <v>15</v>
      </c>
      <c r="G162" s="74">
        <f t="shared" si="22"/>
        <v>5</v>
      </c>
      <c r="H162" s="28">
        <v>5</v>
      </c>
      <c r="I162" s="28">
        <v>0</v>
      </c>
      <c r="J162" s="19">
        <f t="shared" si="23"/>
        <v>337.5</v>
      </c>
      <c r="K162" s="25">
        <v>337.5</v>
      </c>
      <c r="L162" s="25"/>
      <c r="M162" s="21">
        <v>51334.56</v>
      </c>
      <c r="N162" s="22">
        <v>45503.55</v>
      </c>
      <c r="O162" s="21">
        <f t="shared" si="24"/>
        <v>5831.009999999995</v>
      </c>
      <c r="P162" s="23">
        <v>1935</v>
      </c>
      <c r="Q162" s="24" t="s">
        <v>24</v>
      </c>
      <c r="R162" s="24" t="s">
        <v>24</v>
      </c>
      <c r="S162" s="217"/>
      <c r="T162" s="211"/>
      <c r="U162" s="288">
        <v>2710</v>
      </c>
      <c r="V162" s="290">
        <f t="shared" si="25"/>
        <v>914625</v>
      </c>
      <c r="W162" s="211"/>
    </row>
    <row r="163" spans="1:23" ht="12.75">
      <c r="A163" s="423">
        <f t="shared" si="26"/>
        <v>15</v>
      </c>
      <c r="B163" s="443">
        <v>1004</v>
      </c>
      <c r="C163" s="84">
        <v>16</v>
      </c>
      <c r="D163" s="27" t="s">
        <v>22</v>
      </c>
      <c r="E163" s="27" t="s">
        <v>26</v>
      </c>
      <c r="F163" s="28" t="s">
        <v>97</v>
      </c>
      <c r="G163" s="74">
        <f t="shared" si="22"/>
        <v>14</v>
      </c>
      <c r="H163" s="28">
        <v>14</v>
      </c>
      <c r="I163" s="28">
        <v>0</v>
      </c>
      <c r="J163" s="19">
        <f t="shared" si="23"/>
        <v>749.75</v>
      </c>
      <c r="K163" s="25">
        <v>749.75</v>
      </c>
      <c r="L163" s="25"/>
      <c r="M163" s="21">
        <v>98249.61</v>
      </c>
      <c r="N163" s="22">
        <v>39091.34</v>
      </c>
      <c r="O163" s="21">
        <f t="shared" si="24"/>
        <v>59158.270000000004</v>
      </c>
      <c r="P163" s="23">
        <v>1935</v>
      </c>
      <c r="Q163" s="24" t="s">
        <v>24</v>
      </c>
      <c r="R163" s="24" t="s">
        <v>24</v>
      </c>
      <c r="S163" s="217"/>
      <c r="T163" s="211"/>
      <c r="U163" s="288">
        <v>2710</v>
      </c>
      <c r="V163" s="290">
        <f t="shared" si="25"/>
        <v>2031822.5</v>
      </c>
      <c r="W163" s="211"/>
    </row>
    <row r="164" spans="1:23" ht="12.75">
      <c r="A164" s="423">
        <f t="shared" si="26"/>
        <v>16</v>
      </c>
      <c r="B164" s="443">
        <v>1068</v>
      </c>
      <c r="C164" s="84">
        <v>18</v>
      </c>
      <c r="D164" s="27" t="s">
        <v>22</v>
      </c>
      <c r="E164" s="27" t="s">
        <v>53</v>
      </c>
      <c r="F164" s="28" t="s">
        <v>118</v>
      </c>
      <c r="G164" s="74">
        <f t="shared" si="22"/>
        <v>15</v>
      </c>
      <c r="H164" s="28">
        <v>15</v>
      </c>
      <c r="I164" s="28">
        <v>0</v>
      </c>
      <c r="J164" s="19">
        <f t="shared" si="23"/>
        <v>989.61</v>
      </c>
      <c r="K164" s="25">
        <v>989.61</v>
      </c>
      <c r="L164" s="25"/>
      <c r="M164" s="21">
        <v>230939.49</v>
      </c>
      <c r="N164" s="22">
        <v>129581.62</v>
      </c>
      <c r="O164" s="21">
        <f t="shared" si="24"/>
        <v>101357.87</v>
      </c>
      <c r="P164" s="23">
        <v>1935</v>
      </c>
      <c r="Q164" s="24" t="s">
        <v>24</v>
      </c>
      <c r="R164" s="24" t="s">
        <v>24</v>
      </c>
      <c r="S164" s="217"/>
      <c r="T164" s="211"/>
      <c r="U164" s="288">
        <v>2710</v>
      </c>
      <c r="V164" s="290">
        <f t="shared" si="25"/>
        <v>2681843.1</v>
      </c>
      <c r="W164" s="211"/>
    </row>
    <row r="165" spans="1:23" ht="12.75">
      <c r="A165" s="423">
        <f t="shared" si="26"/>
        <v>17</v>
      </c>
      <c r="B165" s="443">
        <v>1085</v>
      </c>
      <c r="C165" s="84">
        <v>19</v>
      </c>
      <c r="D165" s="27" t="s">
        <v>22</v>
      </c>
      <c r="E165" s="27" t="s">
        <v>53</v>
      </c>
      <c r="F165" s="28">
        <v>25</v>
      </c>
      <c r="G165" s="74">
        <f t="shared" si="22"/>
        <v>5</v>
      </c>
      <c r="H165" s="28">
        <v>5</v>
      </c>
      <c r="I165" s="28">
        <v>0</v>
      </c>
      <c r="J165" s="19">
        <f t="shared" si="23"/>
        <v>376.51</v>
      </c>
      <c r="K165" s="25">
        <v>376.51</v>
      </c>
      <c r="L165" s="25"/>
      <c r="M165" s="21">
        <v>53319.87</v>
      </c>
      <c r="N165" s="22">
        <v>39431.89</v>
      </c>
      <c r="O165" s="21">
        <f t="shared" si="24"/>
        <v>13887.980000000003</v>
      </c>
      <c r="P165" s="23">
        <v>1935</v>
      </c>
      <c r="Q165" s="24" t="s">
        <v>24</v>
      </c>
      <c r="R165" s="24" t="s">
        <v>24</v>
      </c>
      <c r="S165" s="217"/>
      <c r="T165" s="211"/>
      <c r="U165" s="288">
        <v>2710</v>
      </c>
      <c r="V165" s="290">
        <f t="shared" si="25"/>
        <v>1020342.1</v>
      </c>
      <c r="W165" s="211"/>
    </row>
    <row r="166" spans="1:23" ht="12.75">
      <c r="A166" s="423">
        <f t="shared" si="26"/>
        <v>18</v>
      </c>
      <c r="B166" s="443">
        <v>1073</v>
      </c>
      <c r="C166" s="84">
        <v>20</v>
      </c>
      <c r="D166" s="27" t="s">
        <v>22</v>
      </c>
      <c r="E166" s="27" t="s">
        <v>53</v>
      </c>
      <c r="F166" s="28">
        <v>15</v>
      </c>
      <c r="G166" s="74">
        <f t="shared" si="22"/>
        <v>5</v>
      </c>
      <c r="H166" s="28">
        <v>5</v>
      </c>
      <c r="I166" s="28">
        <v>0</v>
      </c>
      <c r="J166" s="19">
        <f t="shared" si="23"/>
        <v>382.19</v>
      </c>
      <c r="K166" s="25">
        <v>382.19</v>
      </c>
      <c r="L166" s="25"/>
      <c r="M166" s="21">
        <v>83307.34</v>
      </c>
      <c r="N166" s="22">
        <v>47857.65</v>
      </c>
      <c r="O166" s="21">
        <f t="shared" si="24"/>
        <v>35449.689999999995</v>
      </c>
      <c r="P166" s="23">
        <v>1935</v>
      </c>
      <c r="Q166" s="24" t="s">
        <v>24</v>
      </c>
      <c r="R166" s="24" t="s">
        <v>24</v>
      </c>
      <c r="S166" s="217"/>
      <c r="T166" s="211"/>
      <c r="U166" s="288">
        <v>2710</v>
      </c>
      <c r="V166" s="290">
        <f t="shared" si="25"/>
        <v>1035734.9</v>
      </c>
      <c r="W166" s="211"/>
    </row>
    <row r="167" spans="1:23" ht="12.75">
      <c r="A167" s="423">
        <f t="shared" si="26"/>
        <v>19</v>
      </c>
      <c r="B167" s="443">
        <v>1072</v>
      </c>
      <c r="C167" s="84">
        <v>21</v>
      </c>
      <c r="D167" s="27" t="s">
        <v>22</v>
      </c>
      <c r="E167" s="27" t="s">
        <v>53</v>
      </c>
      <c r="F167" s="28">
        <v>13</v>
      </c>
      <c r="G167" s="74">
        <f t="shared" si="22"/>
        <v>6</v>
      </c>
      <c r="H167" s="28">
        <v>6</v>
      </c>
      <c r="I167" s="28">
        <v>0</v>
      </c>
      <c r="J167" s="19">
        <f t="shared" si="23"/>
        <v>433.51</v>
      </c>
      <c r="K167" s="25">
        <v>433.51</v>
      </c>
      <c r="L167" s="25"/>
      <c r="M167" s="21">
        <v>28726.67</v>
      </c>
      <c r="N167" s="22">
        <v>16613.75</v>
      </c>
      <c r="O167" s="21">
        <f t="shared" si="24"/>
        <v>12112.919999999998</v>
      </c>
      <c r="P167" s="23">
        <v>1935</v>
      </c>
      <c r="Q167" s="24" t="s">
        <v>24</v>
      </c>
      <c r="R167" s="24" t="s">
        <v>24</v>
      </c>
      <c r="S167" s="256"/>
      <c r="T167" s="258"/>
      <c r="U167" s="288">
        <v>2710</v>
      </c>
      <c r="V167" s="290">
        <f t="shared" si="25"/>
        <v>1174812.0999999999</v>
      </c>
      <c r="W167" s="211"/>
    </row>
    <row r="168" spans="1:23" ht="12.75">
      <c r="A168" s="423">
        <f t="shared" si="26"/>
        <v>20</v>
      </c>
      <c r="B168" s="443">
        <v>1097</v>
      </c>
      <c r="C168" s="84">
        <v>23</v>
      </c>
      <c r="D168" s="27" t="s">
        <v>22</v>
      </c>
      <c r="E168" s="27" t="s">
        <v>135</v>
      </c>
      <c r="F168" s="269" t="s">
        <v>138</v>
      </c>
      <c r="G168" s="74">
        <f t="shared" si="22"/>
        <v>10</v>
      </c>
      <c r="H168" s="269">
        <v>10</v>
      </c>
      <c r="I168" s="269">
        <v>0</v>
      </c>
      <c r="J168" s="173">
        <f t="shared" si="23"/>
        <v>652.28</v>
      </c>
      <c r="K168" s="25">
        <v>652.28</v>
      </c>
      <c r="L168" s="25"/>
      <c r="M168" s="38">
        <v>160540.53</v>
      </c>
      <c r="N168" s="270"/>
      <c r="O168" s="37">
        <f t="shared" si="24"/>
        <v>160540.53</v>
      </c>
      <c r="P168" s="39">
        <v>1935</v>
      </c>
      <c r="Q168" s="40" t="s">
        <v>24</v>
      </c>
      <c r="R168" s="205" t="s">
        <v>24</v>
      </c>
      <c r="S168" s="272"/>
      <c r="T168" s="212"/>
      <c r="U168" s="289">
        <v>2710</v>
      </c>
      <c r="V168" s="344">
        <f t="shared" si="25"/>
        <v>1767678.7999999998</v>
      </c>
      <c r="W168" s="211"/>
    </row>
    <row r="169" spans="1:23" ht="12.75">
      <c r="A169" s="423">
        <f t="shared" si="26"/>
        <v>21</v>
      </c>
      <c r="B169" s="443">
        <v>1025</v>
      </c>
      <c r="C169" s="84">
        <v>24</v>
      </c>
      <c r="D169" s="27" t="s">
        <v>22</v>
      </c>
      <c r="E169" s="27" t="s">
        <v>27</v>
      </c>
      <c r="F169" s="28" t="s">
        <v>108</v>
      </c>
      <c r="G169" s="74">
        <f t="shared" si="22"/>
        <v>16</v>
      </c>
      <c r="H169" s="28">
        <v>16</v>
      </c>
      <c r="I169" s="28">
        <v>0</v>
      </c>
      <c r="J169" s="19">
        <f t="shared" si="23"/>
        <v>1042.91</v>
      </c>
      <c r="K169" s="25">
        <v>1042.91</v>
      </c>
      <c r="L169" s="25"/>
      <c r="M169" s="21">
        <v>209890.19</v>
      </c>
      <c r="N169" s="22">
        <v>160765.49</v>
      </c>
      <c r="O169" s="21">
        <f t="shared" si="24"/>
        <v>49124.70000000001</v>
      </c>
      <c r="P169" s="23">
        <v>1935</v>
      </c>
      <c r="Q169" s="24" t="s">
        <v>24</v>
      </c>
      <c r="R169" s="24" t="s">
        <v>24</v>
      </c>
      <c r="S169" s="259"/>
      <c r="T169" s="260"/>
      <c r="U169" s="288">
        <v>2710</v>
      </c>
      <c r="V169" s="290">
        <f t="shared" si="25"/>
        <v>2826286.1</v>
      </c>
      <c r="W169" s="211"/>
    </row>
    <row r="170" spans="1:23" ht="12.75">
      <c r="A170" s="423">
        <f t="shared" si="26"/>
        <v>22</v>
      </c>
      <c r="B170" s="443">
        <v>1084</v>
      </c>
      <c r="C170" s="84">
        <v>25</v>
      </c>
      <c r="D170" s="27" t="s">
        <v>22</v>
      </c>
      <c r="E170" s="27" t="s">
        <v>53</v>
      </c>
      <c r="F170" s="28" t="s">
        <v>123</v>
      </c>
      <c r="G170" s="74">
        <f t="shared" si="22"/>
        <v>16</v>
      </c>
      <c r="H170" s="28">
        <v>16</v>
      </c>
      <c r="I170" s="28">
        <v>0</v>
      </c>
      <c r="J170" s="19">
        <f t="shared" si="23"/>
        <v>1082.1599999999999</v>
      </c>
      <c r="K170" s="25">
        <f>1067.36+14.8</f>
        <v>1082.1599999999999</v>
      </c>
      <c r="L170" s="25"/>
      <c r="M170" s="21">
        <v>210959.47</v>
      </c>
      <c r="N170" s="22">
        <v>123200.73</v>
      </c>
      <c r="O170" s="21">
        <f t="shared" si="24"/>
        <v>87758.74</v>
      </c>
      <c r="P170" s="23">
        <v>1935</v>
      </c>
      <c r="Q170" s="24" t="s">
        <v>24</v>
      </c>
      <c r="R170" s="24" t="s">
        <v>24</v>
      </c>
      <c r="S170" s="217"/>
      <c r="T170" s="211"/>
      <c r="U170" s="288">
        <v>2710</v>
      </c>
      <c r="V170" s="290">
        <f t="shared" si="25"/>
        <v>2932653.5999999996</v>
      </c>
      <c r="W170" s="211"/>
    </row>
    <row r="171" spans="1:23" ht="12.75">
      <c r="A171" s="423">
        <f t="shared" si="26"/>
        <v>23</v>
      </c>
      <c r="B171" s="443">
        <v>1083</v>
      </c>
      <c r="C171" s="84">
        <v>26</v>
      </c>
      <c r="D171" s="27" t="s">
        <v>22</v>
      </c>
      <c r="E171" s="27" t="s">
        <v>53</v>
      </c>
      <c r="F171" s="28">
        <v>8</v>
      </c>
      <c r="G171" s="74">
        <f t="shared" si="22"/>
        <v>7</v>
      </c>
      <c r="H171" s="28">
        <v>7</v>
      </c>
      <c r="I171" s="28">
        <v>0</v>
      </c>
      <c r="J171" s="19">
        <f t="shared" si="23"/>
        <v>303.6</v>
      </c>
      <c r="K171" s="25">
        <v>303.6</v>
      </c>
      <c r="L171" s="25"/>
      <c r="M171" s="21">
        <v>45698.28</v>
      </c>
      <c r="N171" s="22">
        <v>34769.93</v>
      </c>
      <c r="O171" s="21">
        <f t="shared" si="24"/>
        <v>10928.349999999999</v>
      </c>
      <c r="P171" s="23">
        <v>1935</v>
      </c>
      <c r="Q171" s="24" t="s">
        <v>24</v>
      </c>
      <c r="R171" s="24" t="s">
        <v>24</v>
      </c>
      <c r="S171" s="217"/>
      <c r="T171" s="211"/>
      <c r="U171" s="288">
        <v>2710</v>
      </c>
      <c r="V171" s="290">
        <f t="shared" si="25"/>
        <v>822756.0000000001</v>
      </c>
      <c r="W171" s="211"/>
    </row>
    <row r="172" spans="1:23" ht="12.75">
      <c r="A172" s="423">
        <f t="shared" si="26"/>
        <v>24</v>
      </c>
      <c r="B172" s="443">
        <v>1077</v>
      </c>
      <c r="C172" s="84">
        <v>27</v>
      </c>
      <c r="D172" s="27" t="s">
        <v>22</v>
      </c>
      <c r="E172" s="27" t="s">
        <v>53</v>
      </c>
      <c r="F172" s="28" t="s">
        <v>125</v>
      </c>
      <c r="G172" s="74">
        <f t="shared" si="22"/>
        <v>15</v>
      </c>
      <c r="H172" s="28">
        <v>15</v>
      </c>
      <c r="I172" s="28">
        <v>0</v>
      </c>
      <c r="J172" s="173">
        <f t="shared" si="23"/>
        <v>1009.39</v>
      </c>
      <c r="K172" s="25">
        <v>1009.39</v>
      </c>
      <c r="L172" s="25"/>
      <c r="M172" s="37">
        <v>132762.6</v>
      </c>
      <c r="N172" s="38">
        <v>99033.77</v>
      </c>
      <c r="O172" s="37">
        <f t="shared" si="24"/>
        <v>33728.83</v>
      </c>
      <c r="P172" s="39">
        <v>1935</v>
      </c>
      <c r="Q172" s="40" t="s">
        <v>24</v>
      </c>
      <c r="R172" s="40" t="s">
        <v>24</v>
      </c>
      <c r="S172" s="261"/>
      <c r="T172" s="258"/>
      <c r="U172" s="288">
        <v>2710</v>
      </c>
      <c r="V172" s="290">
        <f t="shared" si="25"/>
        <v>2735446.9</v>
      </c>
      <c r="W172" s="211"/>
    </row>
    <row r="173" spans="1:23" ht="12.75">
      <c r="A173" s="423">
        <f t="shared" si="26"/>
        <v>25</v>
      </c>
      <c r="B173" s="443">
        <v>1013</v>
      </c>
      <c r="C173" s="84">
        <v>28</v>
      </c>
      <c r="D173" s="27" t="s">
        <v>22</v>
      </c>
      <c r="E173" s="27" t="s">
        <v>26</v>
      </c>
      <c r="F173" s="28">
        <v>10</v>
      </c>
      <c r="G173" s="74">
        <f t="shared" si="22"/>
        <v>8</v>
      </c>
      <c r="H173" s="28">
        <v>8</v>
      </c>
      <c r="I173" s="28">
        <v>0</v>
      </c>
      <c r="J173" s="19">
        <f t="shared" si="23"/>
        <v>371.38</v>
      </c>
      <c r="K173" s="25">
        <f>332.04+39.34</f>
        <v>371.38</v>
      </c>
      <c r="L173" s="25"/>
      <c r="M173" s="21">
        <v>62358.35</v>
      </c>
      <c r="N173" s="22">
        <v>38350.32</v>
      </c>
      <c r="O173" s="21">
        <f t="shared" si="24"/>
        <v>24008.03</v>
      </c>
      <c r="P173" s="23">
        <v>1935</v>
      </c>
      <c r="Q173" s="24" t="s">
        <v>24</v>
      </c>
      <c r="R173" s="201" t="s">
        <v>24</v>
      </c>
      <c r="S173" s="378"/>
      <c r="T173" s="211"/>
      <c r="U173" s="288">
        <v>2710</v>
      </c>
      <c r="V173" s="290">
        <f t="shared" si="25"/>
        <v>1006439.7999999999</v>
      </c>
      <c r="W173" s="211"/>
    </row>
    <row r="174" spans="1:23" ht="12.75">
      <c r="A174" s="423">
        <f t="shared" si="26"/>
        <v>26</v>
      </c>
      <c r="B174" s="443">
        <v>1012</v>
      </c>
      <c r="C174" s="84">
        <v>29</v>
      </c>
      <c r="D174" s="27" t="s">
        <v>22</v>
      </c>
      <c r="E174" s="27" t="s">
        <v>26</v>
      </c>
      <c r="F174" s="28">
        <v>12</v>
      </c>
      <c r="G174" s="74">
        <f t="shared" si="22"/>
        <v>6</v>
      </c>
      <c r="H174" s="28">
        <v>6</v>
      </c>
      <c r="I174" s="28">
        <v>0</v>
      </c>
      <c r="J174" s="19">
        <f t="shared" si="23"/>
        <v>378.47</v>
      </c>
      <c r="K174" s="25">
        <v>378.47</v>
      </c>
      <c r="L174" s="25"/>
      <c r="M174" s="21">
        <v>31968.52</v>
      </c>
      <c r="N174" s="22">
        <v>20458.83</v>
      </c>
      <c r="O174" s="21">
        <f t="shared" si="24"/>
        <v>11509.689999999999</v>
      </c>
      <c r="P174" s="23">
        <v>1935</v>
      </c>
      <c r="Q174" s="24" t="s">
        <v>24</v>
      </c>
      <c r="R174" s="24" t="s">
        <v>24</v>
      </c>
      <c r="S174" s="259"/>
      <c r="T174" s="260"/>
      <c r="U174" s="288">
        <v>2710</v>
      </c>
      <c r="V174" s="290">
        <f t="shared" si="25"/>
        <v>1025653.7000000001</v>
      </c>
      <c r="W174" s="211"/>
    </row>
    <row r="175" spans="1:23" ht="12.75">
      <c r="A175" s="423">
        <f t="shared" si="26"/>
        <v>27</v>
      </c>
      <c r="B175" s="443">
        <v>1003</v>
      </c>
      <c r="C175" s="84">
        <v>30</v>
      </c>
      <c r="D175" s="27" t="s">
        <v>22</v>
      </c>
      <c r="E175" s="27" t="s">
        <v>26</v>
      </c>
      <c r="F175" s="28" t="s">
        <v>96</v>
      </c>
      <c r="G175" s="74">
        <f t="shared" si="22"/>
        <v>14</v>
      </c>
      <c r="H175" s="28">
        <v>14</v>
      </c>
      <c r="I175" s="28">
        <v>0</v>
      </c>
      <c r="J175" s="19">
        <f t="shared" si="23"/>
        <v>681.02</v>
      </c>
      <c r="K175" s="25">
        <v>681.02</v>
      </c>
      <c r="L175" s="25"/>
      <c r="M175" s="21">
        <v>139713.1</v>
      </c>
      <c r="N175" s="22">
        <v>36747.16</v>
      </c>
      <c r="O175" s="21">
        <f t="shared" si="24"/>
        <v>102965.94</v>
      </c>
      <c r="P175" s="23">
        <v>1935</v>
      </c>
      <c r="Q175" s="24" t="s">
        <v>24</v>
      </c>
      <c r="R175" s="24" t="s">
        <v>24</v>
      </c>
      <c r="S175" s="218" t="s">
        <v>250</v>
      </c>
      <c r="T175" s="211" t="s">
        <v>255</v>
      </c>
      <c r="U175" s="288">
        <v>2710</v>
      </c>
      <c r="V175" s="290">
        <f t="shared" si="25"/>
        <v>1845564.2</v>
      </c>
      <c r="W175" s="211"/>
    </row>
    <row r="176" spans="1:23" ht="12.75">
      <c r="A176" s="423">
        <f t="shared" si="26"/>
        <v>28</v>
      </c>
      <c r="B176" s="443">
        <v>1011</v>
      </c>
      <c r="C176" s="84">
        <v>31</v>
      </c>
      <c r="D176" s="27" t="s">
        <v>22</v>
      </c>
      <c r="E176" s="27" t="s">
        <v>26</v>
      </c>
      <c r="F176" s="28">
        <v>24</v>
      </c>
      <c r="G176" s="74">
        <f t="shared" si="22"/>
        <v>5</v>
      </c>
      <c r="H176" s="28">
        <v>5</v>
      </c>
      <c r="I176" s="28">
        <v>0</v>
      </c>
      <c r="J176" s="19">
        <f t="shared" si="23"/>
        <v>440.49</v>
      </c>
      <c r="K176" s="25">
        <v>440.49</v>
      </c>
      <c r="L176" s="25"/>
      <c r="M176" s="21">
        <v>30416.76</v>
      </c>
      <c r="N176" s="22">
        <v>17938.99</v>
      </c>
      <c r="O176" s="21">
        <f t="shared" si="24"/>
        <v>12477.769999999997</v>
      </c>
      <c r="P176" s="23">
        <v>1935</v>
      </c>
      <c r="Q176" s="24" t="s">
        <v>24</v>
      </c>
      <c r="R176" s="24" t="s">
        <v>24</v>
      </c>
      <c r="S176" s="217"/>
      <c r="T176" s="211"/>
      <c r="U176" s="288">
        <v>2710</v>
      </c>
      <c r="V176" s="290">
        <f t="shared" si="25"/>
        <v>1193727.9000000001</v>
      </c>
      <c r="W176" s="211"/>
    </row>
    <row r="177" spans="1:23" ht="12.75">
      <c r="A177" s="423">
        <f t="shared" si="26"/>
        <v>29</v>
      </c>
      <c r="B177" s="443">
        <v>1008</v>
      </c>
      <c r="C177" s="84">
        <v>32</v>
      </c>
      <c r="D177" s="27" t="s">
        <v>22</v>
      </c>
      <c r="E177" s="27" t="s">
        <v>26</v>
      </c>
      <c r="F177" s="28" t="s">
        <v>101</v>
      </c>
      <c r="G177" s="74">
        <f t="shared" si="22"/>
        <v>18</v>
      </c>
      <c r="H177" s="28">
        <v>18</v>
      </c>
      <c r="I177" s="28">
        <v>0</v>
      </c>
      <c r="J177" s="19">
        <f t="shared" si="23"/>
        <v>669.29</v>
      </c>
      <c r="K177" s="25">
        <v>669.29</v>
      </c>
      <c r="L177" s="25"/>
      <c r="M177" s="21">
        <v>27429.91</v>
      </c>
      <c r="N177" s="22">
        <v>10118.2</v>
      </c>
      <c r="O177" s="21">
        <f t="shared" si="24"/>
        <v>17311.71</v>
      </c>
      <c r="P177" s="23">
        <v>1935</v>
      </c>
      <c r="Q177" s="24" t="s">
        <v>24</v>
      </c>
      <c r="R177" s="24" t="s">
        <v>24</v>
      </c>
      <c r="S177" s="217"/>
      <c r="T177" s="211"/>
      <c r="U177" s="288">
        <v>2710</v>
      </c>
      <c r="V177" s="290">
        <f t="shared" si="25"/>
        <v>1813775.9</v>
      </c>
      <c r="W177" s="211"/>
    </row>
    <row r="178" spans="1:23" ht="12.75">
      <c r="A178" s="423">
        <f t="shared" si="26"/>
        <v>30</v>
      </c>
      <c r="B178" s="443">
        <v>1052</v>
      </c>
      <c r="C178" s="84">
        <v>33</v>
      </c>
      <c r="D178" s="27" t="s">
        <v>22</v>
      </c>
      <c r="E178" s="27" t="s">
        <v>119</v>
      </c>
      <c r="F178" s="269" t="s">
        <v>120</v>
      </c>
      <c r="G178" s="74">
        <f t="shared" si="22"/>
        <v>8</v>
      </c>
      <c r="H178" s="269">
        <v>7</v>
      </c>
      <c r="I178" s="269">
        <v>1</v>
      </c>
      <c r="J178" s="173">
        <f t="shared" si="23"/>
        <v>520.83</v>
      </c>
      <c r="K178" s="25">
        <v>447.87</v>
      </c>
      <c r="L178" s="25">
        <v>72.96</v>
      </c>
      <c r="M178" s="38">
        <v>101780.85</v>
      </c>
      <c r="N178" s="38">
        <v>101780.85</v>
      </c>
      <c r="O178" s="37">
        <f t="shared" si="24"/>
        <v>0</v>
      </c>
      <c r="P178" s="39">
        <v>1930</v>
      </c>
      <c r="Q178" s="40" t="s">
        <v>24</v>
      </c>
      <c r="R178" s="40" t="s">
        <v>24</v>
      </c>
      <c r="S178" s="401"/>
      <c r="T178" s="247"/>
      <c r="U178" s="288">
        <v>2710</v>
      </c>
      <c r="V178" s="290">
        <f t="shared" si="25"/>
        <v>1411449.3</v>
      </c>
      <c r="W178" s="211"/>
    </row>
    <row r="179" spans="1:23" ht="12.75">
      <c r="A179" s="423">
        <f t="shared" si="26"/>
        <v>31</v>
      </c>
      <c r="B179" s="443">
        <v>1053</v>
      </c>
      <c r="C179" s="84">
        <v>34</v>
      </c>
      <c r="D179" s="27" t="s">
        <v>22</v>
      </c>
      <c r="E179" s="27" t="s">
        <v>119</v>
      </c>
      <c r="F179" s="28" t="s">
        <v>121</v>
      </c>
      <c r="G179" s="74">
        <f t="shared" si="22"/>
        <v>13</v>
      </c>
      <c r="H179" s="28">
        <v>13</v>
      </c>
      <c r="I179" s="28">
        <v>0</v>
      </c>
      <c r="J179" s="19">
        <f t="shared" si="23"/>
        <v>772.42</v>
      </c>
      <c r="K179" s="25">
        <v>772.42</v>
      </c>
      <c r="L179" s="25"/>
      <c r="M179" s="21">
        <v>92519.61</v>
      </c>
      <c r="N179" s="22">
        <v>92519.61</v>
      </c>
      <c r="O179" s="21">
        <f t="shared" si="24"/>
        <v>0</v>
      </c>
      <c r="P179" s="23">
        <v>1930</v>
      </c>
      <c r="Q179" s="24" t="s">
        <v>24</v>
      </c>
      <c r="R179" s="24" t="s">
        <v>24</v>
      </c>
      <c r="S179" s="217"/>
      <c r="T179" s="211"/>
      <c r="U179" s="288">
        <v>2710</v>
      </c>
      <c r="V179" s="290">
        <f t="shared" si="25"/>
        <v>2093258.2</v>
      </c>
      <c r="W179" s="211"/>
    </row>
    <row r="180" spans="1:23" ht="12.75">
      <c r="A180" s="423">
        <f t="shared" si="26"/>
        <v>32</v>
      </c>
      <c r="B180" s="443">
        <v>1038</v>
      </c>
      <c r="C180" s="84">
        <v>35</v>
      </c>
      <c r="D180" s="27" t="s">
        <v>22</v>
      </c>
      <c r="E180" s="27" t="s">
        <v>37</v>
      </c>
      <c r="F180" s="28" t="s">
        <v>114</v>
      </c>
      <c r="G180" s="74">
        <f t="shared" si="22"/>
        <v>18</v>
      </c>
      <c r="H180" s="28">
        <v>18</v>
      </c>
      <c r="I180" s="28">
        <v>0</v>
      </c>
      <c r="J180" s="19">
        <f t="shared" si="23"/>
        <v>760.29</v>
      </c>
      <c r="K180" s="25">
        <v>760.29</v>
      </c>
      <c r="L180" s="25"/>
      <c r="M180" s="21">
        <v>114453.56</v>
      </c>
      <c r="N180" s="22">
        <v>63592.2</v>
      </c>
      <c r="O180" s="21">
        <f t="shared" si="24"/>
        <v>50861.36</v>
      </c>
      <c r="P180" s="23">
        <v>1961</v>
      </c>
      <c r="Q180" s="24"/>
      <c r="R180" s="24"/>
      <c r="S180" s="217"/>
      <c r="T180" s="211"/>
      <c r="U180" s="288">
        <v>2710</v>
      </c>
      <c r="V180" s="290">
        <f t="shared" si="25"/>
        <v>2060385.9</v>
      </c>
      <c r="W180" s="211"/>
    </row>
    <row r="181" spans="1:23" ht="12.75">
      <c r="A181" s="423">
        <f t="shared" si="26"/>
        <v>33</v>
      </c>
      <c r="B181" s="443">
        <v>1114</v>
      </c>
      <c r="C181" s="84">
        <v>36</v>
      </c>
      <c r="D181" s="27" t="s">
        <v>22</v>
      </c>
      <c r="E181" s="27" t="s">
        <v>37</v>
      </c>
      <c r="F181" s="269" t="s">
        <v>115</v>
      </c>
      <c r="G181" s="74">
        <f aca="true" t="shared" si="27" ref="G181:G212">I181+H181</f>
        <v>43</v>
      </c>
      <c r="H181" s="269">
        <v>43</v>
      </c>
      <c r="I181" s="269">
        <v>0</v>
      </c>
      <c r="J181" s="173">
        <f aca="true" t="shared" si="28" ref="J181:J212">SUM(K181:L181)</f>
        <v>2790.58</v>
      </c>
      <c r="K181" s="25">
        <v>2790.58</v>
      </c>
      <c r="L181" s="25"/>
      <c r="M181" s="38">
        <v>2738388.46</v>
      </c>
      <c r="N181" s="38">
        <v>443440.3</v>
      </c>
      <c r="O181" s="37">
        <f aca="true" t="shared" si="29" ref="O181:O212">M181-N181</f>
        <v>2294948.16</v>
      </c>
      <c r="P181" s="39">
        <v>1995</v>
      </c>
      <c r="Q181" s="271"/>
      <c r="R181" s="40" t="s">
        <v>24</v>
      </c>
      <c r="S181" s="251" t="s">
        <v>250</v>
      </c>
      <c r="T181" s="214" t="s">
        <v>264</v>
      </c>
      <c r="U181" s="289">
        <v>2710</v>
      </c>
      <c r="V181" s="290">
        <f t="shared" si="25"/>
        <v>7562471.8</v>
      </c>
      <c r="W181" s="211"/>
    </row>
    <row r="182" spans="1:23" ht="12.75">
      <c r="A182" s="423">
        <f t="shared" si="26"/>
        <v>34</v>
      </c>
      <c r="B182" s="444">
        <v>1104</v>
      </c>
      <c r="C182" s="367">
        <v>37</v>
      </c>
      <c r="D182" s="27" t="s">
        <v>22</v>
      </c>
      <c r="E182" s="27" t="s">
        <v>151</v>
      </c>
      <c r="F182" s="273" t="s">
        <v>265</v>
      </c>
      <c r="G182" s="74">
        <f t="shared" si="27"/>
        <v>90</v>
      </c>
      <c r="H182" s="269">
        <v>90</v>
      </c>
      <c r="I182" s="269">
        <v>0</v>
      </c>
      <c r="J182" s="173">
        <f t="shared" si="28"/>
        <v>3804.3</v>
      </c>
      <c r="K182" s="274">
        <v>3804.3</v>
      </c>
      <c r="L182" s="274"/>
      <c r="M182" s="275">
        <v>640583.69</v>
      </c>
      <c r="N182" s="276"/>
      <c r="O182" s="277">
        <f t="shared" si="29"/>
        <v>640583.69</v>
      </c>
      <c r="P182" s="278">
        <v>1970</v>
      </c>
      <c r="Q182" s="279"/>
      <c r="R182" s="280"/>
      <c r="S182" s="255" t="s">
        <v>250</v>
      </c>
      <c r="T182" s="215" t="s">
        <v>264</v>
      </c>
      <c r="U182" s="288">
        <v>2710</v>
      </c>
      <c r="V182" s="290">
        <f t="shared" si="25"/>
        <v>10309653</v>
      </c>
      <c r="W182" s="211"/>
    </row>
    <row r="183" spans="1:23" ht="12.75">
      <c r="A183" s="423">
        <f t="shared" si="26"/>
        <v>35</v>
      </c>
      <c r="B183" s="110">
        <v>3190</v>
      </c>
      <c r="C183" s="367">
        <v>38</v>
      </c>
      <c r="D183" s="27" t="s">
        <v>78</v>
      </c>
      <c r="E183" s="27" t="s">
        <v>84</v>
      </c>
      <c r="F183" s="28">
        <v>30</v>
      </c>
      <c r="G183" s="74">
        <f t="shared" si="27"/>
        <v>3</v>
      </c>
      <c r="H183" s="28">
        <v>3</v>
      </c>
      <c r="I183" s="28">
        <v>0</v>
      </c>
      <c r="J183" s="19">
        <f t="shared" si="28"/>
        <v>112.05</v>
      </c>
      <c r="K183" s="25">
        <v>112.05</v>
      </c>
      <c r="L183" s="25"/>
      <c r="M183" s="21">
        <v>12447.16</v>
      </c>
      <c r="N183" s="22">
        <v>6147.18</v>
      </c>
      <c r="O183" s="21">
        <f t="shared" si="29"/>
        <v>6299.98</v>
      </c>
      <c r="P183" s="23">
        <v>1905</v>
      </c>
      <c r="Q183" s="24" t="s">
        <v>24</v>
      </c>
      <c r="R183" s="24" t="s">
        <v>24</v>
      </c>
      <c r="S183" s="218">
        <v>1992</v>
      </c>
      <c r="U183" s="288">
        <v>2710</v>
      </c>
      <c r="V183" s="290">
        <f t="shared" si="25"/>
        <v>303655.5</v>
      </c>
      <c r="W183" s="211"/>
    </row>
    <row r="184" spans="1:24" s="53" customFormat="1" ht="12.75">
      <c r="A184" s="458">
        <f t="shared" si="26"/>
        <v>36</v>
      </c>
      <c r="B184" s="445">
        <v>3016</v>
      </c>
      <c r="C184" s="345">
        <v>40</v>
      </c>
      <c r="D184" s="192" t="s">
        <v>22</v>
      </c>
      <c r="E184" s="192" t="s">
        <v>27</v>
      </c>
      <c r="F184" s="193">
        <v>12</v>
      </c>
      <c r="G184" s="331">
        <f t="shared" si="27"/>
        <v>7</v>
      </c>
      <c r="H184" s="193">
        <v>7</v>
      </c>
      <c r="I184" s="193">
        <v>0</v>
      </c>
      <c r="J184" s="194">
        <f t="shared" si="28"/>
        <v>0</v>
      </c>
      <c r="K184" s="195"/>
      <c r="L184" s="195"/>
      <c r="M184" s="196"/>
      <c r="N184" s="197">
        <v>8202.76</v>
      </c>
      <c r="O184" s="196">
        <f t="shared" si="29"/>
        <v>-8202.76</v>
      </c>
      <c r="P184" s="198"/>
      <c r="Q184" s="199"/>
      <c r="R184" s="199"/>
      <c r="S184" s="217"/>
      <c r="T184" s="211"/>
      <c r="U184" s="288"/>
      <c r="V184" s="290"/>
      <c r="W184" s="310" t="s">
        <v>275</v>
      </c>
      <c r="X184" s="2"/>
    </row>
    <row r="185" spans="1:24" s="53" customFormat="1" ht="12.75">
      <c r="A185" s="423">
        <f t="shared" si="26"/>
        <v>37</v>
      </c>
      <c r="B185" s="443">
        <v>1029</v>
      </c>
      <c r="C185" s="84">
        <v>41</v>
      </c>
      <c r="D185" s="27" t="s">
        <v>22</v>
      </c>
      <c r="E185" s="27" t="s">
        <v>27</v>
      </c>
      <c r="F185" s="28" t="s">
        <v>107</v>
      </c>
      <c r="G185" s="74">
        <f t="shared" si="27"/>
        <v>16</v>
      </c>
      <c r="H185" s="28">
        <v>16</v>
      </c>
      <c r="I185" s="28">
        <v>0</v>
      </c>
      <c r="J185" s="19">
        <f t="shared" si="28"/>
        <v>1133.14</v>
      </c>
      <c r="K185" s="25">
        <v>1133.14</v>
      </c>
      <c r="L185" s="25"/>
      <c r="M185" s="21">
        <v>124723.35</v>
      </c>
      <c r="N185" s="22">
        <v>71986.43</v>
      </c>
      <c r="O185" s="21">
        <f t="shared" si="29"/>
        <v>52736.92000000001</v>
      </c>
      <c r="P185" s="23">
        <v>1935</v>
      </c>
      <c r="Q185" s="24" t="s">
        <v>24</v>
      </c>
      <c r="R185" s="24" t="s">
        <v>24</v>
      </c>
      <c r="S185" s="217"/>
      <c r="T185" s="211"/>
      <c r="U185" s="288">
        <v>2710</v>
      </c>
      <c r="V185" s="290">
        <f aca="true" t="shared" si="30" ref="V185:V216">J185*U185</f>
        <v>3070809.4000000004</v>
      </c>
      <c r="W185" s="211"/>
      <c r="X185" s="2"/>
    </row>
    <row r="186" spans="1:23" ht="12.75">
      <c r="A186" s="423">
        <f t="shared" si="26"/>
        <v>38</v>
      </c>
      <c r="B186" s="443">
        <v>1026</v>
      </c>
      <c r="C186" s="84">
        <v>42</v>
      </c>
      <c r="D186" s="27" t="s">
        <v>22</v>
      </c>
      <c r="E186" s="27" t="s">
        <v>27</v>
      </c>
      <c r="F186" s="269" t="s">
        <v>109</v>
      </c>
      <c r="G186" s="74">
        <f t="shared" si="27"/>
        <v>15</v>
      </c>
      <c r="H186" s="269">
        <v>15</v>
      </c>
      <c r="I186" s="269">
        <v>0</v>
      </c>
      <c r="J186" s="173">
        <f t="shared" si="28"/>
        <v>1163.94</v>
      </c>
      <c r="K186" s="25">
        <v>1163.94</v>
      </c>
      <c r="L186" s="25"/>
      <c r="M186" s="38">
        <v>113622.02</v>
      </c>
      <c r="N186" s="270"/>
      <c r="O186" s="37">
        <f t="shared" si="29"/>
        <v>113622.02</v>
      </c>
      <c r="P186" s="39">
        <v>1935</v>
      </c>
      <c r="Q186" s="40" t="s">
        <v>24</v>
      </c>
      <c r="R186" s="40" t="s">
        <v>24</v>
      </c>
      <c r="S186" s="233"/>
      <c r="T186" s="212"/>
      <c r="U186" s="289">
        <v>2710</v>
      </c>
      <c r="V186" s="290">
        <f t="shared" si="30"/>
        <v>3154277.4000000004</v>
      </c>
      <c r="W186" s="211"/>
    </row>
    <row r="187" spans="1:23" ht="12.75">
      <c r="A187" s="423">
        <f t="shared" si="26"/>
        <v>39</v>
      </c>
      <c r="B187" s="443">
        <v>1069</v>
      </c>
      <c r="C187" s="84">
        <v>43</v>
      </c>
      <c r="D187" s="27" t="s">
        <v>22</v>
      </c>
      <c r="E187" s="27" t="s">
        <v>53</v>
      </c>
      <c r="F187" s="28">
        <v>7</v>
      </c>
      <c r="G187" s="74">
        <f t="shared" si="27"/>
        <v>5</v>
      </c>
      <c r="H187" s="28">
        <v>5</v>
      </c>
      <c r="I187" s="28">
        <v>0</v>
      </c>
      <c r="J187" s="19">
        <f t="shared" si="28"/>
        <v>352.84</v>
      </c>
      <c r="K187" s="25">
        <v>352.84</v>
      </c>
      <c r="L187" s="25"/>
      <c r="M187" s="21">
        <v>53887.1</v>
      </c>
      <c r="N187" s="22">
        <v>30829.72</v>
      </c>
      <c r="O187" s="21">
        <f t="shared" si="29"/>
        <v>23057.379999999997</v>
      </c>
      <c r="P187" s="23">
        <v>1935</v>
      </c>
      <c r="Q187" s="24" t="s">
        <v>24</v>
      </c>
      <c r="R187" s="24" t="s">
        <v>24</v>
      </c>
      <c r="S187" s="217"/>
      <c r="T187" s="211"/>
      <c r="U187" s="288">
        <v>2710</v>
      </c>
      <c r="V187" s="290">
        <f t="shared" si="30"/>
        <v>956196.3999999999</v>
      </c>
      <c r="W187" s="211"/>
    </row>
    <row r="188" spans="1:23" ht="12.75">
      <c r="A188" s="423">
        <f t="shared" si="26"/>
        <v>40</v>
      </c>
      <c r="B188" s="443">
        <v>1081</v>
      </c>
      <c r="C188" s="84">
        <v>44</v>
      </c>
      <c r="D188" s="27" t="s">
        <v>22</v>
      </c>
      <c r="E188" s="27" t="s">
        <v>53</v>
      </c>
      <c r="F188" s="28">
        <v>12</v>
      </c>
      <c r="G188" s="74">
        <f t="shared" si="27"/>
        <v>6</v>
      </c>
      <c r="H188" s="28">
        <v>6</v>
      </c>
      <c r="I188" s="28">
        <v>0</v>
      </c>
      <c r="J188" s="19">
        <f t="shared" si="28"/>
        <v>379.47</v>
      </c>
      <c r="K188" s="25">
        <v>379.47</v>
      </c>
      <c r="L188" s="25"/>
      <c r="M188" s="21">
        <v>66545.46</v>
      </c>
      <c r="N188" s="22">
        <v>48616.1</v>
      </c>
      <c r="O188" s="21">
        <f t="shared" si="29"/>
        <v>17929.360000000008</v>
      </c>
      <c r="P188" s="23">
        <v>1935</v>
      </c>
      <c r="Q188" s="24" t="s">
        <v>24</v>
      </c>
      <c r="R188" s="24" t="s">
        <v>24</v>
      </c>
      <c r="S188" s="217"/>
      <c r="T188" s="211"/>
      <c r="U188" s="288">
        <v>2710</v>
      </c>
      <c r="V188" s="290">
        <f t="shared" si="30"/>
        <v>1028363.7000000001</v>
      </c>
      <c r="W188" s="211"/>
    </row>
    <row r="189" spans="1:23" ht="12.75">
      <c r="A189" s="423">
        <f t="shared" si="26"/>
        <v>41</v>
      </c>
      <c r="B189" s="443">
        <v>1074</v>
      </c>
      <c r="C189" s="84">
        <v>45</v>
      </c>
      <c r="D189" s="27" t="s">
        <v>22</v>
      </c>
      <c r="E189" s="27" t="s">
        <v>53</v>
      </c>
      <c r="F189" s="28">
        <v>17</v>
      </c>
      <c r="G189" s="74">
        <f t="shared" si="27"/>
        <v>5</v>
      </c>
      <c r="H189" s="28">
        <v>5</v>
      </c>
      <c r="I189" s="28">
        <v>0</v>
      </c>
      <c r="J189" s="19">
        <f t="shared" si="28"/>
        <v>328.1</v>
      </c>
      <c r="K189" s="25">
        <v>328.1</v>
      </c>
      <c r="L189" s="25"/>
      <c r="M189" s="21">
        <v>76868.6</v>
      </c>
      <c r="N189" s="22">
        <v>44360.39</v>
      </c>
      <c r="O189" s="21">
        <f t="shared" si="29"/>
        <v>32508.210000000006</v>
      </c>
      <c r="P189" s="23">
        <v>1935</v>
      </c>
      <c r="Q189" s="24" t="s">
        <v>24</v>
      </c>
      <c r="R189" s="24" t="s">
        <v>24</v>
      </c>
      <c r="S189" s="217"/>
      <c r="T189" s="211"/>
      <c r="U189" s="288">
        <v>2710</v>
      </c>
      <c r="V189" s="290">
        <f t="shared" si="30"/>
        <v>889151.0000000001</v>
      </c>
      <c r="W189" s="211"/>
    </row>
    <row r="190" spans="1:23" ht="12.75">
      <c r="A190" s="423">
        <f t="shared" si="26"/>
        <v>42</v>
      </c>
      <c r="B190" s="443">
        <v>1095</v>
      </c>
      <c r="C190" s="84">
        <v>46</v>
      </c>
      <c r="D190" s="27" t="s">
        <v>22</v>
      </c>
      <c r="E190" s="27" t="s">
        <v>135</v>
      </c>
      <c r="F190" s="28" t="s">
        <v>136</v>
      </c>
      <c r="G190" s="74">
        <f t="shared" si="27"/>
        <v>24</v>
      </c>
      <c r="H190" s="28">
        <v>24</v>
      </c>
      <c r="I190" s="28">
        <v>0</v>
      </c>
      <c r="J190" s="19">
        <f t="shared" si="28"/>
        <v>1658.38</v>
      </c>
      <c r="K190" s="25">
        <v>1658.38</v>
      </c>
      <c r="L190" s="25"/>
      <c r="M190" s="21">
        <v>227391.66</v>
      </c>
      <c r="N190" s="22">
        <v>207439.54</v>
      </c>
      <c r="O190" s="21">
        <f t="shared" si="29"/>
        <v>19952.119999999995</v>
      </c>
      <c r="P190" s="23">
        <v>1935</v>
      </c>
      <c r="Q190" s="24" t="s">
        <v>24</v>
      </c>
      <c r="R190" s="24" t="s">
        <v>24</v>
      </c>
      <c r="S190" s="256"/>
      <c r="T190" s="258"/>
      <c r="U190" s="288">
        <v>2710</v>
      </c>
      <c r="V190" s="290">
        <f t="shared" si="30"/>
        <v>4494209.800000001</v>
      </c>
      <c r="W190" s="211"/>
    </row>
    <row r="191" spans="1:23" ht="12.75">
      <c r="A191" s="423">
        <f t="shared" si="26"/>
        <v>43</v>
      </c>
      <c r="B191" s="443">
        <v>1096</v>
      </c>
      <c r="C191" s="84">
        <v>47</v>
      </c>
      <c r="D191" s="27" t="s">
        <v>22</v>
      </c>
      <c r="E191" s="27" t="s">
        <v>139</v>
      </c>
      <c r="F191" s="28" t="s">
        <v>294</v>
      </c>
      <c r="G191" s="74">
        <f t="shared" si="27"/>
        <v>29</v>
      </c>
      <c r="H191" s="269">
        <v>29</v>
      </c>
      <c r="I191" s="269">
        <v>0</v>
      </c>
      <c r="J191" s="173">
        <f t="shared" si="28"/>
        <v>1783.21</v>
      </c>
      <c r="K191" s="25">
        <f>1714.21+69</f>
        <v>1783.21</v>
      </c>
      <c r="L191" s="25"/>
      <c r="M191" s="38">
        <v>288112.02</v>
      </c>
      <c r="N191" s="270"/>
      <c r="O191" s="37">
        <f t="shared" si="29"/>
        <v>288112.02</v>
      </c>
      <c r="P191" s="39">
        <v>1935</v>
      </c>
      <c r="Q191" s="40" t="s">
        <v>24</v>
      </c>
      <c r="R191" s="205" t="s">
        <v>24</v>
      </c>
      <c r="S191" s="272"/>
      <c r="T191" s="212"/>
      <c r="U191" s="288">
        <v>2710</v>
      </c>
      <c r="V191" s="290">
        <f t="shared" si="30"/>
        <v>4832499.100000001</v>
      </c>
      <c r="W191" s="211"/>
    </row>
    <row r="192" spans="1:23" ht="12.75">
      <c r="A192" s="423">
        <f t="shared" si="26"/>
        <v>44</v>
      </c>
      <c r="B192" s="110">
        <v>1106</v>
      </c>
      <c r="C192" s="367">
        <v>48</v>
      </c>
      <c r="D192" s="27" t="s">
        <v>22</v>
      </c>
      <c r="E192" s="27" t="s">
        <v>155</v>
      </c>
      <c r="F192" s="28">
        <v>13</v>
      </c>
      <c r="G192" s="74">
        <f t="shared" si="27"/>
        <v>5</v>
      </c>
      <c r="H192" s="28">
        <v>5</v>
      </c>
      <c r="I192" s="28">
        <v>0</v>
      </c>
      <c r="J192" s="19">
        <f t="shared" si="28"/>
        <v>371.93</v>
      </c>
      <c r="K192" s="25">
        <v>371.93</v>
      </c>
      <c r="L192" s="25"/>
      <c r="M192" s="21">
        <v>114276.54</v>
      </c>
      <c r="N192" s="22">
        <v>58002.07</v>
      </c>
      <c r="O192" s="21">
        <f t="shared" si="29"/>
        <v>56274.469999999994</v>
      </c>
      <c r="P192" s="23">
        <v>1935</v>
      </c>
      <c r="Q192" s="24" t="s">
        <v>24</v>
      </c>
      <c r="R192" s="24" t="s">
        <v>24</v>
      </c>
      <c r="S192" s="257" t="s">
        <v>254</v>
      </c>
      <c r="T192" s="383" t="s">
        <v>255</v>
      </c>
      <c r="U192" s="288">
        <v>2710</v>
      </c>
      <c r="V192" s="290">
        <f t="shared" si="30"/>
        <v>1007930.3</v>
      </c>
      <c r="W192" s="211"/>
    </row>
    <row r="193" spans="1:23" ht="12.75">
      <c r="A193" s="423">
        <f t="shared" si="26"/>
        <v>45</v>
      </c>
      <c r="B193" s="443">
        <v>1021</v>
      </c>
      <c r="C193" s="84">
        <v>49</v>
      </c>
      <c r="D193" s="27" t="s">
        <v>22</v>
      </c>
      <c r="E193" s="27" t="s">
        <v>27</v>
      </c>
      <c r="F193" s="28">
        <v>11</v>
      </c>
      <c r="G193" s="74">
        <f t="shared" si="27"/>
        <v>5</v>
      </c>
      <c r="H193" s="28">
        <v>5</v>
      </c>
      <c r="I193" s="28">
        <v>0</v>
      </c>
      <c r="J193" s="19">
        <f t="shared" si="28"/>
        <v>347.08</v>
      </c>
      <c r="K193" s="25">
        <v>347.08</v>
      </c>
      <c r="L193" s="25"/>
      <c r="M193" s="21">
        <v>84079.39</v>
      </c>
      <c r="N193" s="22">
        <v>46374.67</v>
      </c>
      <c r="O193" s="21">
        <f t="shared" si="29"/>
        <v>37704.72</v>
      </c>
      <c r="P193" s="23">
        <v>1935</v>
      </c>
      <c r="Q193" s="24" t="s">
        <v>24</v>
      </c>
      <c r="R193" s="24" t="s">
        <v>24</v>
      </c>
      <c r="S193" s="217"/>
      <c r="T193" s="211"/>
      <c r="U193" s="288">
        <v>2710</v>
      </c>
      <c r="V193" s="290">
        <f t="shared" si="30"/>
        <v>940586.7999999999</v>
      </c>
      <c r="W193" s="211"/>
    </row>
    <row r="194" spans="1:23" ht="12.75">
      <c r="A194" s="423">
        <f t="shared" si="26"/>
        <v>46</v>
      </c>
      <c r="B194" s="446">
        <v>1019</v>
      </c>
      <c r="C194" s="364">
        <v>50</v>
      </c>
      <c r="D194" s="281" t="s">
        <v>22</v>
      </c>
      <c r="E194" s="281" t="s">
        <v>27</v>
      </c>
      <c r="F194" s="269" t="s">
        <v>104</v>
      </c>
      <c r="G194" s="74">
        <f t="shared" si="27"/>
        <v>26</v>
      </c>
      <c r="H194" s="269">
        <v>26</v>
      </c>
      <c r="I194" s="269">
        <v>0</v>
      </c>
      <c r="J194" s="173">
        <f t="shared" si="28"/>
        <v>1347.68</v>
      </c>
      <c r="K194" s="274">
        <v>1347.68</v>
      </c>
      <c r="L194" s="274"/>
      <c r="M194" s="277">
        <v>94482.01</v>
      </c>
      <c r="N194" s="275"/>
      <c r="O194" s="277">
        <f t="shared" si="29"/>
        <v>94482.01</v>
      </c>
      <c r="P194" s="278">
        <v>1935</v>
      </c>
      <c r="Q194" s="280" t="s">
        <v>24</v>
      </c>
      <c r="R194" s="280" t="s">
        <v>24</v>
      </c>
      <c r="S194" s="283"/>
      <c r="T194" s="247"/>
      <c r="U194" s="288">
        <v>2710</v>
      </c>
      <c r="V194" s="290">
        <f t="shared" si="30"/>
        <v>3652212.8000000003</v>
      </c>
      <c r="W194" s="211"/>
    </row>
    <row r="195" spans="1:23" ht="12.75">
      <c r="A195" s="423">
        <f t="shared" si="26"/>
        <v>47</v>
      </c>
      <c r="B195" s="443">
        <v>1061</v>
      </c>
      <c r="C195" s="84">
        <v>51</v>
      </c>
      <c r="D195" s="27" t="s">
        <v>22</v>
      </c>
      <c r="E195" s="27" t="s">
        <v>140</v>
      </c>
      <c r="F195" s="28" t="s">
        <v>143</v>
      </c>
      <c r="G195" s="74">
        <f t="shared" si="27"/>
        <v>18</v>
      </c>
      <c r="H195" s="28">
        <v>18</v>
      </c>
      <c r="I195" s="28">
        <v>0</v>
      </c>
      <c r="J195" s="19">
        <f t="shared" si="28"/>
        <v>764.67</v>
      </c>
      <c r="K195" s="25">
        <v>764.67</v>
      </c>
      <c r="L195" s="25"/>
      <c r="M195" s="21">
        <v>64996.47</v>
      </c>
      <c r="N195" s="22">
        <v>37464.97</v>
      </c>
      <c r="O195" s="21">
        <f t="shared" si="29"/>
        <v>27531.5</v>
      </c>
      <c r="P195" s="23">
        <v>1962</v>
      </c>
      <c r="Q195" s="24"/>
      <c r="R195" s="24"/>
      <c r="S195" s="217"/>
      <c r="T195" s="211"/>
      <c r="U195" s="288">
        <v>2710</v>
      </c>
      <c r="V195" s="290">
        <f t="shared" si="30"/>
        <v>2072255.7</v>
      </c>
      <c r="W195" s="211"/>
    </row>
    <row r="196" spans="1:23" ht="12.75">
      <c r="A196" s="423">
        <f t="shared" si="26"/>
        <v>48</v>
      </c>
      <c r="B196" s="446">
        <v>1007</v>
      </c>
      <c r="C196" s="364">
        <v>52</v>
      </c>
      <c r="D196" s="281" t="s">
        <v>22</v>
      </c>
      <c r="E196" s="281" t="s">
        <v>26</v>
      </c>
      <c r="F196" s="269" t="s">
        <v>100</v>
      </c>
      <c r="G196" s="74">
        <f t="shared" si="27"/>
        <v>11</v>
      </c>
      <c r="H196" s="269">
        <v>11</v>
      </c>
      <c r="I196" s="269">
        <v>0</v>
      </c>
      <c r="J196" s="173">
        <f t="shared" si="28"/>
        <v>717.26</v>
      </c>
      <c r="K196" s="274">
        <v>717.26</v>
      </c>
      <c r="L196" s="274"/>
      <c r="M196" s="275">
        <v>142318.15</v>
      </c>
      <c r="N196" s="276"/>
      <c r="O196" s="277">
        <f t="shared" si="29"/>
        <v>142318.15</v>
      </c>
      <c r="P196" s="278">
        <v>1935</v>
      </c>
      <c r="Q196" s="280" t="s">
        <v>24</v>
      </c>
      <c r="R196" s="280" t="s">
        <v>24</v>
      </c>
      <c r="S196" s="283"/>
      <c r="T196" s="247"/>
      <c r="U196" s="288">
        <v>2710</v>
      </c>
      <c r="V196" s="290">
        <f t="shared" si="30"/>
        <v>1943774.5999999999</v>
      </c>
      <c r="W196" s="211"/>
    </row>
    <row r="197" spans="1:23" ht="12.75">
      <c r="A197" s="423">
        <f t="shared" si="26"/>
        <v>49</v>
      </c>
      <c r="B197" s="443">
        <v>1090</v>
      </c>
      <c r="C197" s="84">
        <v>53</v>
      </c>
      <c r="D197" s="27" t="s">
        <v>22</v>
      </c>
      <c r="E197" s="27" t="s">
        <v>131</v>
      </c>
      <c r="F197" s="28" t="s">
        <v>132</v>
      </c>
      <c r="G197" s="74">
        <f t="shared" si="27"/>
        <v>64</v>
      </c>
      <c r="H197" s="28">
        <v>60</v>
      </c>
      <c r="I197" s="28">
        <v>4</v>
      </c>
      <c r="J197" s="19">
        <f t="shared" si="28"/>
        <v>2702.9300000000003</v>
      </c>
      <c r="K197" s="25">
        <v>2639.4</v>
      </c>
      <c r="L197" s="25">
        <v>63.53</v>
      </c>
      <c r="M197" s="21">
        <v>399935.16</v>
      </c>
      <c r="N197" s="22">
        <v>180158.59</v>
      </c>
      <c r="O197" s="21">
        <f t="shared" si="29"/>
        <v>219776.56999999998</v>
      </c>
      <c r="P197" s="23">
        <v>1966</v>
      </c>
      <c r="Q197" s="24"/>
      <c r="R197" s="24"/>
      <c r="S197" s="217"/>
      <c r="T197" s="211"/>
      <c r="U197" s="288">
        <v>2710</v>
      </c>
      <c r="V197" s="290">
        <f t="shared" si="30"/>
        <v>7324940.300000001</v>
      </c>
      <c r="W197" s="211"/>
    </row>
    <row r="198" spans="1:23" ht="12.75">
      <c r="A198" s="423">
        <f t="shared" si="26"/>
        <v>50</v>
      </c>
      <c r="B198" s="443">
        <v>1091</v>
      </c>
      <c r="C198" s="84">
        <v>54</v>
      </c>
      <c r="D198" s="27" t="s">
        <v>22</v>
      </c>
      <c r="E198" s="27" t="s">
        <v>131</v>
      </c>
      <c r="F198" s="269" t="s">
        <v>133</v>
      </c>
      <c r="G198" s="74">
        <f t="shared" si="27"/>
        <v>61</v>
      </c>
      <c r="H198" s="269">
        <v>60</v>
      </c>
      <c r="I198" s="269">
        <v>1</v>
      </c>
      <c r="J198" s="19">
        <f t="shared" si="28"/>
        <v>2747.05</v>
      </c>
      <c r="K198" s="25">
        <v>2589.8</v>
      </c>
      <c r="L198" s="25">
        <v>157.25</v>
      </c>
      <c r="M198" s="38">
        <v>569902.85</v>
      </c>
      <c r="N198" s="270"/>
      <c r="O198" s="37">
        <f t="shared" si="29"/>
        <v>569902.85</v>
      </c>
      <c r="P198" s="39">
        <v>1966</v>
      </c>
      <c r="Q198" s="271"/>
      <c r="R198" s="40"/>
      <c r="S198" s="255" t="s">
        <v>250</v>
      </c>
      <c r="T198" s="250" t="s">
        <v>255</v>
      </c>
      <c r="U198" s="288">
        <v>2710</v>
      </c>
      <c r="V198" s="290">
        <f t="shared" si="30"/>
        <v>7444505.500000001</v>
      </c>
      <c r="W198" s="211"/>
    </row>
    <row r="199" spans="1:23" ht="12.75">
      <c r="A199" s="423">
        <f t="shared" si="26"/>
        <v>51</v>
      </c>
      <c r="B199" s="443">
        <v>1089</v>
      </c>
      <c r="C199" s="84">
        <v>55</v>
      </c>
      <c r="D199" s="27" t="s">
        <v>22</v>
      </c>
      <c r="E199" s="27" t="s">
        <v>131</v>
      </c>
      <c r="F199" s="28" t="s">
        <v>134</v>
      </c>
      <c r="G199" s="74">
        <f t="shared" si="27"/>
        <v>64</v>
      </c>
      <c r="H199" s="28">
        <v>60</v>
      </c>
      <c r="I199" s="28">
        <v>4</v>
      </c>
      <c r="J199" s="19">
        <f t="shared" si="28"/>
        <v>2665.39</v>
      </c>
      <c r="K199" s="25">
        <v>2603.79</v>
      </c>
      <c r="L199" s="25">
        <v>61.6</v>
      </c>
      <c r="M199" s="21">
        <v>406530.27</v>
      </c>
      <c r="N199" s="22">
        <v>193989.58</v>
      </c>
      <c r="O199" s="21">
        <f t="shared" si="29"/>
        <v>212540.69000000003</v>
      </c>
      <c r="P199" s="23">
        <v>1966</v>
      </c>
      <c r="Q199" s="24"/>
      <c r="R199" s="24"/>
      <c r="S199" s="217"/>
      <c r="T199" s="211"/>
      <c r="U199" s="288">
        <v>2710</v>
      </c>
      <c r="V199" s="290">
        <f t="shared" si="30"/>
        <v>7223206.899999999</v>
      </c>
      <c r="W199" s="211"/>
    </row>
    <row r="200" spans="1:23" ht="12.75">
      <c r="A200" s="423">
        <f t="shared" si="26"/>
        <v>52</v>
      </c>
      <c r="B200" s="443">
        <v>1009</v>
      </c>
      <c r="C200" s="84">
        <v>56</v>
      </c>
      <c r="D200" s="27" t="s">
        <v>22</v>
      </c>
      <c r="E200" s="27" t="s">
        <v>26</v>
      </c>
      <c r="F200" s="28">
        <v>28</v>
      </c>
      <c r="G200" s="74">
        <f t="shared" si="27"/>
        <v>6</v>
      </c>
      <c r="H200" s="28">
        <v>5</v>
      </c>
      <c r="I200" s="28">
        <v>1</v>
      </c>
      <c r="J200" s="19">
        <f t="shared" si="28"/>
        <v>444.74</v>
      </c>
      <c r="K200" s="25">
        <v>409.76</v>
      </c>
      <c r="L200" s="25">
        <v>34.98</v>
      </c>
      <c r="M200" s="21">
        <v>72103.49</v>
      </c>
      <c r="N200" s="22">
        <v>41886.11</v>
      </c>
      <c r="O200" s="21">
        <f t="shared" si="29"/>
        <v>30217.380000000005</v>
      </c>
      <c r="P200" s="23">
        <v>1935</v>
      </c>
      <c r="Q200" s="24" t="s">
        <v>24</v>
      </c>
      <c r="R200" s="24" t="s">
        <v>24</v>
      </c>
      <c r="S200" s="217"/>
      <c r="T200" s="211"/>
      <c r="U200" s="288">
        <v>2710</v>
      </c>
      <c r="V200" s="290">
        <f t="shared" si="30"/>
        <v>1205245.4000000001</v>
      </c>
      <c r="W200" s="211"/>
    </row>
    <row r="201" spans="1:23" ht="12.75">
      <c r="A201" s="423">
        <f t="shared" si="26"/>
        <v>53</v>
      </c>
      <c r="B201" s="443">
        <v>1031</v>
      </c>
      <c r="C201" s="84">
        <v>57</v>
      </c>
      <c r="D201" s="27" t="s">
        <v>22</v>
      </c>
      <c r="E201" s="27" t="s">
        <v>110</v>
      </c>
      <c r="F201" s="28">
        <v>30</v>
      </c>
      <c r="G201" s="74">
        <f t="shared" si="27"/>
        <v>5</v>
      </c>
      <c r="H201" s="28">
        <v>4</v>
      </c>
      <c r="I201" s="28">
        <v>1</v>
      </c>
      <c r="J201" s="19">
        <f t="shared" si="28"/>
        <v>379.91</v>
      </c>
      <c r="K201" s="25">
        <v>304.97</v>
      </c>
      <c r="L201" s="25">
        <v>74.94</v>
      </c>
      <c r="M201" s="22">
        <v>32447.97</v>
      </c>
      <c r="N201" s="22">
        <v>30347.01</v>
      </c>
      <c r="O201" s="21">
        <f t="shared" si="29"/>
        <v>2100.9600000000028</v>
      </c>
      <c r="P201" s="23">
        <v>1935</v>
      </c>
      <c r="Q201" s="24" t="s">
        <v>24</v>
      </c>
      <c r="R201" s="24" t="s">
        <v>24</v>
      </c>
      <c r="S201" s="217"/>
      <c r="T201" s="211"/>
      <c r="U201" s="288">
        <v>2710</v>
      </c>
      <c r="V201" s="290">
        <f t="shared" si="30"/>
        <v>1029556.1000000001</v>
      </c>
      <c r="W201" s="211"/>
    </row>
    <row r="202" spans="1:23" ht="12.75">
      <c r="A202" s="423">
        <f t="shared" si="26"/>
        <v>54</v>
      </c>
      <c r="B202" s="443">
        <v>1032</v>
      </c>
      <c r="C202" s="84">
        <v>58</v>
      </c>
      <c r="D202" s="27" t="s">
        <v>22</v>
      </c>
      <c r="E202" s="27" t="s">
        <v>110</v>
      </c>
      <c r="F202" s="28">
        <v>2</v>
      </c>
      <c r="G202" s="74">
        <f t="shared" si="27"/>
        <v>17</v>
      </c>
      <c r="H202" s="28">
        <v>12</v>
      </c>
      <c r="I202" s="28">
        <v>5</v>
      </c>
      <c r="J202" s="19">
        <f t="shared" si="28"/>
        <v>856.28</v>
      </c>
      <c r="K202" s="25">
        <v>439.83</v>
      </c>
      <c r="L202" s="25">
        <v>416.45</v>
      </c>
      <c r="M202" s="21">
        <v>147943.82</v>
      </c>
      <c r="N202" s="22">
        <v>68834.85</v>
      </c>
      <c r="O202" s="21">
        <f t="shared" si="29"/>
        <v>79108.97</v>
      </c>
      <c r="P202" s="23">
        <v>1935</v>
      </c>
      <c r="Q202" s="24" t="s">
        <v>24</v>
      </c>
      <c r="R202" s="24" t="s">
        <v>24</v>
      </c>
      <c r="S202" s="217"/>
      <c r="T202" s="211"/>
      <c r="U202" s="288">
        <v>2710</v>
      </c>
      <c r="V202" s="290">
        <f t="shared" si="30"/>
        <v>2320518.8</v>
      </c>
      <c r="W202" s="211"/>
    </row>
    <row r="203" spans="1:23" ht="12.75">
      <c r="A203" s="423">
        <f t="shared" si="26"/>
        <v>55</v>
      </c>
      <c r="B203" s="443">
        <v>1015</v>
      </c>
      <c r="C203" s="84">
        <v>60</v>
      </c>
      <c r="D203" s="27" t="s">
        <v>22</v>
      </c>
      <c r="E203" s="27" t="s">
        <v>26</v>
      </c>
      <c r="F203" s="28">
        <v>19</v>
      </c>
      <c r="G203" s="74">
        <f t="shared" si="27"/>
        <v>7</v>
      </c>
      <c r="H203" s="28">
        <v>7</v>
      </c>
      <c r="I203" s="28">
        <v>0</v>
      </c>
      <c r="J203" s="19">
        <f t="shared" si="28"/>
        <v>294.83</v>
      </c>
      <c r="K203" s="25">
        <v>294.83</v>
      </c>
      <c r="L203" s="25"/>
      <c r="M203" s="21">
        <v>32866.56</v>
      </c>
      <c r="N203" s="22">
        <v>10513.35</v>
      </c>
      <c r="O203" s="21">
        <f t="shared" si="29"/>
        <v>22353.21</v>
      </c>
      <c r="P203" s="23">
        <v>1935</v>
      </c>
      <c r="Q203" s="24" t="s">
        <v>24</v>
      </c>
      <c r="R203" s="24" t="s">
        <v>24</v>
      </c>
      <c r="S203" s="217"/>
      <c r="T203" s="211"/>
      <c r="U203" s="288">
        <v>2710</v>
      </c>
      <c r="V203" s="290">
        <f t="shared" si="30"/>
        <v>798989.2999999999</v>
      </c>
      <c r="W203" s="211"/>
    </row>
    <row r="204" spans="1:23" ht="12.75">
      <c r="A204" s="423">
        <f t="shared" si="26"/>
        <v>56</v>
      </c>
      <c r="B204" s="443">
        <v>1010</v>
      </c>
      <c r="C204" s="84">
        <v>61</v>
      </c>
      <c r="D204" s="27" t="s">
        <v>22</v>
      </c>
      <c r="E204" s="27" t="s">
        <v>26</v>
      </c>
      <c r="F204" s="28">
        <v>26</v>
      </c>
      <c r="G204" s="74">
        <f t="shared" si="27"/>
        <v>6</v>
      </c>
      <c r="H204" s="28">
        <v>5</v>
      </c>
      <c r="I204" s="28">
        <v>1</v>
      </c>
      <c r="J204" s="19">
        <f t="shared" si="28"/>
        <v>487.13</v>
      </c>
      <c r="K204" s="25">
        <v>474.94</v>
      </c>
      <c r="L204" s="25">
        <v>12.19</v>
      </c>
      <c r="M204" s="22">
        <v>158670.92</v>
      </c>
      <c r="N204" s="22">
        <v>54927.05</v>
      </c>
      <c r="O204" s="21">
        <f t="shared" si="29"/>
        <v>103743.87000000001</v>
      </c>
      <c r="P204" s="23">
        <v>1939</v>
      </c>
      <c r="Q204" s="24" t="s">
        <v>24</v>
      </c>
      <c r="R204" s="24" t="s">
        <v>24</v>
      </c>
      <c r="S204" s="217"/>
      <c r="T204" s="211"/>
      <c r="U204" s="288">
        <v>2710</v>
      </c>
      <c r="V204" s="290">
        <f t="shared" si="30"/>
        <v>1320122.3</v>
      </c>
      <c r="W204" s="211"/>
    </row>
    <row r="205" spans="1:23" ht="12.75">
      <c r="A205" s="423">
        <f t="shared" si="26"/>
        <v>57</v>
      </c>
      <c r="B205" s="446">
        <v>1039</v>
      </c>
      <c r="C205" s="364">
        <v>62</v>
      </c>
      <c r="D205" s="281" t="s">
        <v>22</v>
      </c>
      <c r="E205" s="281" t="s">
        <v>37</v>
      </c>
      <c r="F205" s="269">
        <v>6</v>
      </c>
      <c r="G205" s="74">
        <f t="shared" si="27"/>
        <v>25</v>
      </c>
      <c r="H205" s="269">
        <v>20</v>
      </c>
      <c r="I205" s="269">
        <v>5</v>
      </c>
      <c r="J205" s="173">
        <f t="shared" si="28"/>
        <v>953.22</v>
      </c>
      <c r="K205" s="274">
        <v>899.22</v>
      </c>
      <c r="L205" s="274">
        <v>54</v>
      </c>
      <c r="M205" s="275">
        <v>129256.73</v>
      </c>
      <c r="N205" s="275">
        <v>49753.45</v>
      </c>
      <c r="O205" s="277">
        <f t="shared" si="29"/>
        <v>79503.28</v>
      </c>
      <c r="P205" s="278">
        <v>1970</v>
      </c>
      <c r="Q205" s="280"/>
      <c r="R205" s="280"/>
      <c r="S205" s="282"/>
      <c r="T205" s="247"/>
      <c r="U205" s="288">
        <v>2710</v>
      </c>
      <c r="V205" s="290">
        <f t="shared" si="30"/>
        <v>2583226.2</v>
      </c>
      <c r="W205" s="211"/>
    </row>
    <row r="206" spans="1:23" ht="12.75">
      <c r="A206" s="423">
        <f t="shared" si="26"/>
        <v>58</v>
      </c>
      <c r="B206" s="443">
        <v>1055</v>
      </c>
      <c r="C206" s="84">
        <v>63</v>
      </c>
      <c r="D206" s="27" t="s">
        <v>22</v>
      </c>
      <c r="E206" s="27" t="s">
        <v>119</v>
      </c>
      <c r="F206" s="28">
        <v>29</v>
      </c>
      <c r="G206" s="74">
        <f t="shared" si="27"/>
        <v>9</v>
      </c>
      <c r="H206" s="28">
        <v>9</v>
      </c>
      <c r="I206" s="28">
        <v>0</v>
      </c>
      <c r="J206" s="19">
        <f t="shared" si="28"/>
        <v>455.73</v>
      </c>
      <c r="K206" s="25">
        <v>455.73</v>
      </c>
      <c r="L206" s="25"/>
      <c r="M206" s="21">
        <v>89656.79</v>
      </c>
      <c r="N206" s="22">
        <v>89656.79</v>
      </c>
      <c r="O206" s="21">
        <f t="shared" si="29"/>
        <v>0</v>
      </c>
      <c r="P206" s="23">
        <v>1928</v>
      </c>
      <c r="Q206" s="24" t="s">
        <v>24</v>
      </c>
      <c r="R206" s="24" t="s">
        <v>24</v>
      </c>
      <c r="S206" s="217"/>
      <c r="T206" s="211"/>
      <c r="U206" s="288">
        <v>2710</v>
      </c>
      <c r="V206" s="290">
        <f t="shared" si="30"/>
        <v>1235028.3</v>
      </c>
      <c r="W206" s="211"/>
    </row>
    <row r="207" spans="1:23" ht="12.75">
      <c r="A207" s="423">
        <f t="shared" si="26"/>
        <v>59</v>
      </c>
      <c r="B207" s="110">
        <v>3181</v>
      </c>
      <c r="C207" s="367">
        <v>65</v>
      </c>
      <c r="D207" s="27" t="s">
        <v>78</v>
      </c>
      <c r="E207" s="27" t="s">
        <v>82</v>
      </c>
      <c r="F207" s="28">
        <v>15</v>
      </c>
      <c r="G207" s="74">
        <f t="shared" si="27"/>
        <v>4</v>
      </c>
      <c r="H207" s="28">
        <v>3</v>
      </c>
      <c r="I207" s="28">
        <v>1</v>
      </c>
      <c r="J207" s="19">
        <f t="shared" si="28"/>
        <v>214.25</v>
      </c>
      <c r="K207" s="25">
        <v>170.4</v>
      </c>
      <c r="L207" s="25">
        <v>43.85</v>
      </c>
      <c r="M207" s="21">
        <v>58561.26</v>
      </c>
      <c r="N207" s="22">
        <v>35580.94</v>
      </c>
      <c r="O207" s="21">
        <f t="shared" si="29"/>
        <v>22980.32</v>
      </c>
      <c r="P207" s="23">
        <v>1910</v>
      </c>
      <c r="Q207" s="24" t="s">
        <v>24</v>
      </c>
      <c r="R207" s="24" t="s">
        <v>24</v>
      </c>
      <c r="S207" s="217"/>
      <c r="T207" s="211"/>
      <c r="U207" s="288">
        <v>2710</v>
      </c>
      <c r="V207" s="290">
        <f t="shared" si="30"/>
        <v>580617.5</v>
      </c>
      <c r="W207" s="211"/>
    </row>
    <row r="208" spans="1:23" ht="12.75">
      <c r="A208" s="423">
        <f t="shared" si="26"/>
        <v>60</v>
      </c>
      <c r="B208" s="110">
        <v>1101</v>
      </c>
      <c r="C208" s="367">
        <v>66</v>
      </c>
      <c r="D208" s="27" t="s">
        <v>22</v>
      </c>
      <c r="E208" s="27" t="s">
        <v>150</v>
      </c>
      <c r="F208" s="28" t="s">
        <v>105</v>
      </c>
      <c r="G208" s="74">
        <f t="shared" si="27"/>
        <v>17</v>
      </c>
      <c r="H208" s="28">
        <v>17</v>
      </c>
      <c r="I208" s="28">
        <v>0</v>
      </c>
      <c r="J208" s="19">
        <f t="shared" si="28"/>
        <v>823.9</v>
      </c>
      <c r="K208" s="25">
        <v>823.9</v>
      </c>
      <c r="L208" s="25"/>
      <c r="M208" s="21">
        <v>441632.92</v>
      </c>
      <c r="N208" s="22">
        <v>231895.92</v>
      </c>
      <c r="O208" s="21">
        <f t="shared" si="29"/>
        <v>209736.99999999997</v>
      </c>
      <c r="P208" s="23">
        <v>1930</v>
      </c>
      <c r="Q208" s="24" t="s">
        <v>24</v>
      </c>
      <c r="R208" s="24" t="s">
        <v>24</v>
      </c>
      <c r="S208" s="217"/>
      <c r="T208" s="211"/>
      <c r="U208" s="288">
        <v>2710</v>
      </c>
      <c r="V208" s="290">
        <f t="shared" si="30"/>
        <v>2232769</v>
      </c>
      <c r="W208" s="211"/>
    </row>
    <row r="209" spans="1:23" ht="12.75">
      <c r="A209" s="423">
        <f t="shared" si="26"/>
        <v>61</v>
      </c>
      <c r="B209" s="443">
        <v>1022</v>
      </c>
      <c r="C209" s="84">
        <v>67</v>
      </c>
      <c r="D209" s="27" t="s">
        <v>22</v>
      </c>
      <c r="E209" s="27" t="s">
        <v>27</v>
      </c>
      <c r="F209" s="28" t="s">
        <v>106</v>
      </c>
      <c r="G209" s="74">
        <f t="shared" si="27"/>
        <v>16</v>
      </c>
      <c r="H209" s="28">
        <v>16</v>
      </c>
      <c r="I209" s="28">
        <v>0</v>
      </c>
      <c r="J209" s="19">
        <f t="shared" si="28"/>
        <v>949.52</v>
      </c>
      <c r="K209" s="25">
        <v>949.52</v>
      </c>
      <c r="L209" s="25"/>
      <c r="M209" s="21">
        <v>471864.15</v>
      </c>
      <c r="N209" s="22">
        <v>148774.5</v>
      </c>
      <c r="O209" s="21">
        <f t="shared" si="29"/>
        <v>323089.65</v>
      </c>
      <c r="P209" s="23">
        <v>1935</v>
      </c>
      <c r="Q209" s="24" t="s">
        <v>24</v>
      </c>
      <c r="R209" s="24" t="s">
        <v>24</v>
      </c>
      <c r="S209" s="217"/>
      <c r="T209" s="211"/>
      <c r="U209" s="288">
        <v>2710</v>
      </c>
      <c r="V209" s="290">
        <f t="shared" si="30"/>
        <v>2573199.1999999997</v>
      </c>
      <c r="W209" s="211"/>
    </row>
    <row r="210" spans="1:23" ht="12.75">
      <c r="A210" s="423">
        <f t="shared" si="26"/>
        <v>62</v>
      </c>
      <c r="B210" s="443">
        <v>1076</v>
      </c>
      <c r="C210" s="84">
        <v>69</v>
      </c>
      <c r="D210" s="27" t="s">
        <v>22</v>
      </c>
      <c r="E210" s="27" t="s">
        <v>53</v>
      </c>
      <c r="F210" s="28">
        <v>26</v>
      </c>
      <c r="G210" s="74">
        <f t="shared" si="27"/>
        <v>5</v>
      </c>
      <c r="H210" s="28">
        <v>5</v>
      </c>
      <c r="I210" s="28">
        <v>0</v>
      </c>
      <c r="J210" s="173">
        <f t="shared" si="28"/>
        <v>314.92</v>
      </c>
      <c r="K210" s="25">
        <v>314.92</v>
      </c>
      <c r="L210" s="25"/>
      <c r="M210" s="37">
        <v>53334.84</v>
      </c>
      <c r="N210" s="38">
        <v>45899.97</v>
      </c>
      <c r="O210" s="37">
        <f t="shared" si="29"/>
        <v>7434.869999999995</v>
      </c>
      <c r="P210" s="39">
        <v>1935</v>
      </c>
      <c r="Q210" s="40" t="s">
        <v>24</v>
      </c>
      <c r="R210" s="40" t="s">
        <v>24</v>
      </c>
      <c r="S210" s="233"/>
      <c r="T210" s="211"/>
      <c r="U210" s="288">
        <v>2710</v>
      </c>
      <c r="V210" s="290">
        <f t="shared" si="30"/>
        <v>853433.2000000001</v>
      </c>
      <c r="W210" s="211"/>
    </row>
    <row r="211" spans="1:23" ht="12.75">
      <c r="A211" s="423">
        <f t="shared" si="26"/>
        <v>63</v>
      </c>
      <c r="B211" s="446">
        <v>1033</v>
      </c>
      <c r="C211" s="364">
        <v>70</v>
      </c>
      <c r="D211" s="281" t="s">
        <v>22</v>
      </c>
      <c r="E211" s="27" t="s">
        <v>110</v>
      </c>
      <c r="F211" s="269" t="s">
        <v>112</v>
      </c>
      <c r="G211" s="74">
        <f t="shared" si="27"/>
        <v>25</v>
      </c>
      <c r="H211" s="269">
        <v>25</v>
      </c>
      <c r="I211" s="269">
        <v>0</v>
      </c>
      <c r="J211" s="19">
        <f t="shared" si="28"/>
        <v>1597.15</v>
      </c>
      <c r="K211" s="274">
        <v>1597.15</v>
      </c>
      <c r="L211" s="274"/>
      <c r="M211" s="275">
        <v>191452.7</v>
      </c>
      <c r="N211" s="276"/>
      <c r="O211" s="277">
        <f t="shared" si="29"/>
        <v>191452.7</v>
      </c>
      <c r="P211" s="278">
        <v>1935</v>
      </c>
      <c r="Q211" s="280" t="s">
        <v>24</v>
      </c>
      <c r="R211" s="280" t="s">
        <v>24</v>
      </c>
      <c r="S211" s="283"/>
      <c r="T211" s="247"/>
      <c r="U211" s="288">
        <v>2710</v>
      </c>
      <c r="V211" s="290">
        <f t="shared" si="30"/>
        <v>4328276.5</v>
      </c>
      <c r="W211" s="211"/>
    </row>
    <row r="212" spans="1:23" ht="12.75">
      <c r="A212" s="423">
        <f t="shared" si="26"/>
        <v>64</v>
      </c>
      <c r="B212" s="447">
        <v>1100</v>
      </c>
      <c r="C212" s="368">
        <v>71</v>
      </c>
      <c r="D212" s="174" t="s">
        <v>22</v>
      </c>
      <c r="E212" s="174" t="s">
        <v>150</v>
      </c>
      <c r="F212" s="175" t="s">
        <v>118</v>
      </c>
      <c r="G212" s="176">
        <f t="shared" si="27"/>
        <v>15</v>
      </c>
      <c r="H212" s="175">
        <v>15</v>
      </c>
      <c r="I212" s="175">
        <v>0</v>
      </c>
      <c r="J212" s="182">
        <f t="shared" si="28"/>
        <v>717.53</v>
      </c>
      <c r="K212" s="177">
        <v>717.53</v>
      </c>
      <c r="L212" s="177"/>
      <c r="M212" s="178">
        <v>312111.5</v>
      </c>
      <c r="N212" s="179">
        <v>149764.64</v>
      </c>
      <c r="O212" s="178">
        <f t="shared" si="29"/>
        <v>162346.86</v>
      </c>
      <c r="P212" s="180">
        <v>1930</v>
      </c>
      <c r="Q212" s="181" t="s">
        <v>24</v>
      </c>
      <c r="R212" s="181" t="s">
        <v>24</v>
      </c>
      <c r="S212" s="236"/>
      <c r="T212" s="211"/>
      <c r="U212" s="288">
        <v>2710</v>
      </c>
      <c r="V212" s="290">
        <f t="shared" si="30"/>
        <v>1944506.2999999998</v>
      </c>
      <c r="W212" s="211"/>
    </row>
    <row r="213" spans="1:23" ht="12.75">
      <c r="A213" s="423">
        <f t="shared" si="26"/>
        <v>65</v>
      </c>
      <c r="B213" s="443">
        <v>1045</v>
      </c>
      <c r="C213" s="84">
        <v>72</v>
      </c>
      <c r="D213" s="27" t="s">
        <v>22</v>
      </c>
      <c r="E213" s="27" t="s">
        <v>117</v>
      </c>
      <c r="F213" s="28">
        <v>8</v>
      </c>
      <c r="G213" s="74">
        <f aca="true" t="shared" si="31" ref="G213:G244">I213+H213</f>
        <v>8</v>
      </c>
      <c r="H213" s="28">
        <v>8</v>
      </c>
      <c r="I213" s="28">
        <v>0</v>
      </c>
      <c r="J213" s="19">
        <f aca="true" t="shared" si="32" ref="J213:J244">SUM(K213:L213)</f>
        <v>254.96</v>
      </c>
      <c r="K213" s="25">
        <v>254.96</v>
      </c>
      <c r="L213" s="25"/>
      <c r="M213" s="21">
        <v>57094.86</v>
      </c>
      <c r="N213" s="22">
        <v>57094.86</v>
      </c>
      <c r="O213" s="21">
        <f aca="true" t="shared" si="33" ref="O213:O244">M213-N213</f>
        <v>0</v>
      </c>
      <c r="P213" s="23">
        <v>1930</v>
      </c>
      <c r="Q213" s="24" t="s">
        <v>24</v>
      </c>
      <c r="R213" s="24" t="s">
        <v>24</v>
      </c>
      <c r="S213" s="217"/>
      <c r="T213" s="211"/>
      <c r="U213" s="288">
        <v>2710</v>
      </c>
      <c r="V213" s="290">
        <f t="shared" si="30"/>
        <v>690941.6</v>
      </c>
      <c r="W213" s="211"/>
    </row>
    <row r="214" spans="1:23" ht="12.75">
      <c r="A214" s="423">
        <f t="shared" si="26"/>
        <v>66</v>
      </c>
      <c r="B214" s="443">
        <v>1056</v>
      </c>
      <c r="C214" s="84">
        <v>73</v>
      </c>
      <c r="D214" s="27" t="s">
        <v>22</v>
      </c>
      <c r="E214" s="27" t="s">
        <v>122</v>
      </c>
      <c r="F214" s="28" t="s">
        <v>293</v>
      </c>
      <c r="G214" s="74">
        <f t="shared" si="31"/>
        <v>33</v>
      </c>
      <c r="H214" s="28">
        <v>33</v>
      </c>
      <c r="I214" s="28">
        <v>0</v>
      </c>
      <c r="J214" s="19">
        <f t="shared" si="32"/>
        <v>1620.19</v>
      </c>
      <c r="K214" s="25">
        <v>1620.19</v>
      </c>
      <c r="L214" s="25"/>
      <c r="M214" s="21">
        <v>264503.39</v>
      </c>
      <c r="N214" s="22">
        <v>264503.39</v>
      </c>
      <c r="O214" s="21">
        <f t="shared" si="33"/>
        <v>0</v>
      </c>
      <c r="P214" s="23">
        <v>1925</v>
      </c>
      <c r="Q214" s="24" t="s">
        <v>24</v>
      </c>
      <c r="R214" s="24" t="s">
        <v>24</v>
      </c>
      <c r="S214" s="217"/>
      <c r="T214" s="211"/>
      <c r="U214" s="288">
        <v>2710</v>
      </c>
      <c r="V214" s="290">
        <f t="shared" si="30"/>
        <v>4390714.9</v>
      </c>
      <c r="W214" s="211"/>
    </row>
    <row r="215" spans="1:23" ht="12.75">
      <c r="A215" s="423">
        <f aca="true" t="shared" si="34" ref="A215:A278">A214+1</f>
        <v>67</v>
      </c>
      <c r="B215" s="443">
        <v>3127</v>
      </c>
      <c r="C215" s="84">
        <v>74</v>
      </c>
      <c r="D215" s="27" t="s">
        <v>22</v>
      </c>
      <c r="E215" s="27" t="s">
        <v>145</v>
      </c>
      <c r="F215" s="28">
        <v>3</v>
      </c>
      <c r="G215" s="74">
        <f t="shared" si="31"/>
        <v>8</v>
      </c>
      <c r="H215" s="28">
        <v>5</v>
      </c>
      <c r="I215" s="28">
        <v>3</v>
      </c>
      <c r="J215" s="19">
        <f t="shared" si="32"/>
        <v>444.41999999999996</v>
      </c>
      <c r="K215" s="25">
        <v>284.84</v>
      </c>
      <c r="L215" s="25">
        <v>159.58</v>
      </c>
      <c r="M215" s="21">
        <v>7782.28</v>
      </c>
      <c r="N215" s="22">
        <v>2644.88</v>
      </c>
      <c r="O215" s="21">
        <f t="shared" si="33"/>
        <v>5137.4</v>
      </c>
      <c r="P215" s="23">
        <v>1905</v>
      </c>
      <c r="Q215" s="24" t="s">
        <v>24</v>
      </c>
      <c r="R215" s="24" t="s">
        <v>24</v>
      </c>
      <c r="S215" s="217"/>
      <c r="T215" s="211"/>
      <c r="U215" s="288">
        <v>2710</v>
      </c>
      <c r="V215" s="290">
        <f t="shared" si="30"/>
        <v>1204378.2</v>
      </c>
      <c r="W215" s="211"/>
    </row>
    <row r="216" spans="1:23" ht="12.75">
      <c r="A216" s="423">
        <f t="shared" si="34"/>
        <v>68</v>
      </c>
      <c r="B216" s="443">
        <v>1036</v>
      </c>
      <c r="C216" s="84">
        <v>75</v>
      </c>
      <c r="D216" s="27" t="s">
        <v>22</v>
      </c>
      <c r="E216" s="27" t="s">
        <v>110</v>
      </c>
      <c r="F216" s="28">
        <v>42</v>
      </c>
      <c r="G216" s="74">
        <f t="shared" si="31"/>
        <v>6</v>
      </c>
      <c r="H216" s="28">
        <v>6</v>
      </c>
      <c r="I216" s="28">
        <v>0</v>
      </c>
      <c r="J216" s="19">
        <f t="shared" si="32"/>
        <v>425.83</v>
      </c>
      <c r="K216" s="25">
        <v>425.83</v>
      </c>
      <c r="L216" s="25"/>
      <c r="M216" s="21">
        <v>89127.93</v>
      </c>
      <c r="N216" s="22">
        <v>89127.93</v>
      </c>
      <c r="O216" s="21">
        <f t="shared" si="33"/>
        <v>0</v>
      </c>
      <c r="P216" s="23">
        <v>1935</v>
      </c>
      <c r="Q216" s="24" t="s">
        <v>24</v>
      </c>
      <c r="R216" s="24" t="s">
        <v>24</v>
      </c>
      <c r="S216" s="217"/>
      <c r="T216" s="211"/>
      <c r="U216" s="288">
        <v>2710</v>
      </c>
      <c r="V216" s="290">
        <f t="shared" si="30"/>
        <v>1153999.3</v>
      </c>
      <c r="W216" s="211"/>
    </row>
    <row r="217" spans="1:23" ht="12.75">
      <c r="A217" s="423">
        <f t="shared" si="34"/>
        <v>69</v>
      </c>
      <c r="B217" s="110">
        <v>3152</v>
      </c>
      <c r="C217" s="367">
        <v>76</v>
      </c>
      <c r="D217" s="27" t="s">
        <v>22</v>
      </c>
      <c r="E217" s="27" t="s">
        <v>152</v>
      </c>
      <c r="F217" s="28">
        <v>82</v>
      </c>
      <c r="G217" s="74">
        <f t="shared" si="31"/>
        <v>8</v>
      </c>
      <c r="H217" s="28">
        <v>8</v>
      </c>
      <c r="I217" s="28">
        <v>0</v>
      </c>
      <c r="J217" s="19">
        <f t="shared" si="32"/>
        <v>454.2</v>
      </c>
      <c r="K217" s="25">
        <v>454.2</v>
      </c>
      <c r="L217" s="25"/>
      <c r="M217" s="21">
        <v>37416.93</v>
      </c>
      <c r="N217" s="22">
        <v>37416.93</v>
      </c>
      <c r="O217" s="21">
        <f t="shared" si="33"/>
        <v>0</v>
      </c>
      <c r="P217" s="23">
        <v>1900</v>
      </c>
      <c r="Q217" s="24" t="s">
        <v>24</v>
      </c>
      <c r="R217" s="24" t="s">
        <v>24</v>
      </c>
      <c r="S217" s="217"/>
      <c r="T217" s="211"/>
      <c r="U217" s="288">
        <v>2710</v>
      </c>
      <c r="V217" s="290">
        <f aca="true" t="shared" si="35" ref="V217:V248">J217*U217</f>
        <v>1230882</v>
      </c>
      <c r="W217" s="211"/>
    </row>
    <row r="218" spans="1:23" ht="12.75">
      <c r="A218" s="423">
        <f t="shared" si="34"/>
        <v>70</v>
      </c>
      <c r="B218" s="443">
        <v>1050</v>
      </c>
      <c r="C218" s="84">
        <v>77</v>
      </c>
      <c r="D218" s="27" t="s">
        <v>22</v>
      </c>
      <c r="E218" s="27" t="s">
        <v>119</v>
      </c>
      <c r="F218" s="28">
        <v>8</v>
      </c>
      <c r="G218" s="74">
        <f t="shared" si="31"/>
        <v>4</v>
      </c>
      <c r="H218" s="28">
        <v>4</v>
      </c>
      <c r="I218" s="28">
        <v>0</v>
      </c>
      <c r="J218" s="19">
        <f t="shared" si="32"/>
        <v>254.18</v>
      </c>
      <c r="K218" s="25">
        <v>254.18</v>
      </c>
      <c r="L218" s="25"/>
      <c r="M218" s="21">
        <v>20350.17</v>
      </c>
      <c r="N218" s="22">
        <v>20350.17</v>
      </c>
      <c r="O218" s="21">
        <f t="shared" si="33"/>
        <v>0</v>
      </c>
      <c r="P218" s="23">
        <v>1930</v>
      </c>
      <c r="Q218" s="24" t="s">
        <v>24</v>
      </c>
      <c r="R218" s="24" t="s">
        <v>24</v>
      </c>
      <c r="S218" s="256"/>
      <c r="T218" s="258"/>
      <c r="U218" s="288">
        <v>2710</v>
      </c>
      <c r="V218" s="290">
        <f t="shared" si="35"/>
        <v>688827.8</v>
      </c>
      <c r="W218" s="211"/>
    </row>
    <row r="219" spans="1:23" ht="12.75">
      <c r="A219" s="423">
        <f t="shared" si="34"/>
        <v>71</v>
      </c>
      <c r="B219" s="443">
        <v>3102</v>
      </c>
      <c r="C219" s="84">
        <v>78</v>
      </c>
      <c r="D219" s="27" t="s">
        <v>22</v>
      </c>
      <c r="E219" s="27" t="s">
        <v>55</v>
      </c>
      <c r="F219" s="28">
        <v>10</v>
      </c>
      <c r="G219" s="74">
        <f t="shared" si="31"/>
        <v>4</v>
      </c>
      <c r="H219" s="28">
        <v>4</v>
      </c>
      <c r="I219" s="28">
        <v>0</v>
      </c>
      <c r="J219" s="19">
        <f t="shared" si="32"/>
        <v>249.51</v>
      </c>
      <c r="K219" s="25">
        <v>249.51</v>
      </c>
      <c r="L219" s="25"/>
      <c r="M219" s="21">
        <v>37769.49</v>
      </c>
      <c r="N219" s="22">
        <v>9028.5</v>
      </c>
      <c r="O219" s="21">
        <f t="shared" si="33"/>
        <v>28740.989999999998</v>
      </c>
      <c r="P219" s="23">
        <v>1905</v>
      </c>
      <c r="Q219" s="24" t="s">
        <v>24</v>
      </c>
      <c r="R219" s="201" t="s">
        <v>24</v>
      </c>
      <c r="S219" s="378"/>
      <c r="T219" s="211"/>
      <c r="U219" s="288">
        <v>2710</v>
      </c>
      <c r="V219" s="290">
        <f t="shared" si="35"/>
        <v>676172.1</v>
      </c>
      <c r="W219" s="211"/>
    </row>
    <row r="220" spans="1:23" ht="12.75">
      <c r="A220" s="423">
        <f t="shared" si="34"/>
        <v>72</v>
      </c>
      <c r="B220" s="443">
        <v>1017</v>
      </c>
      <c r="C220" s="84">
        <v>79</v>
      </c>
      <c r="D220" s="27" t="s">
        <v>22</v>
      </c>
      <c r="E220" s="27" t="s">
        <v>102</v>
      </c>
      <c r="F220" s="28">
        <v>10</v>
      </c>
      <c r="G220" s="74">
        <f t="shared" si="31"/>
        <v>3</v>
      </c>
      <c r="H220" s="28">
        <v>3</v>
      </c>
      <c r="I220" s="28"/>
      <c r="J220" s="19">
        <f t="shared" si="32"/>
        <v>174.16</v>
      </c>
      <c r="K220" s="25">
        <f>174.16</f>
        <v>174.16</v>
      </c>
      <c r="L220" s="25"/>
      <c r="M220" s="21">
        <v>3049.91</v>
      </c>
      <c r="N220" s="22">
        <v>1002.51</v>
      </c>
      <c r="O220" s="21">
        <f t="shared" si="33"/>
        <v>2047.3999999999999</v>
      </c>
      <c r="P220" s="23">
        <v>1928</v>
      </c>
      <c r="Q220" s="24" t="s">
        <v>24</v>
      </c>
      <c r="R220" s="24" t="s">
        <v>24</v>
      </c>
      <c r="S220" s="259"/>
      <c r="T220" s="260"/>
      <c r="U220" s="288">
        <v>2710</v>
      </c>
      <c r="V220" s="290">
        <f t="shared" si="35"/>
        <v>471973.6</v>
      </c>
      <c r="W220" s="211"/>
    </row>
    <row r="221" spans="1:23" ht="12.75">
      <c r="A221" s="423">
        <f t="shared" si="34"/>
        <v>73</v>
      </c>
      <c r="B221" s="443">
        <v>3097</v>
      </c>
      <c r="C221" s="84">
        <v>80</v>
      </c>
      <c r="D221" s="27" t="s">
        <v>22</v>
      </c>
      <c r="E221" s="27" t="s">
        <v>55</v>
      </c>
      <c r="F221" s="269">
        <v>17</v>
      </c>
      <c r="G221" s="74">
        <f t="shared" si="31"/>
        <v>8</v>
      </c>
      <c r="H221" s="269">
        <v>8</v>
      </c>
      <c r="I221" s="269">
        <v>0</v>
      </c>
      <c r="J221" s="173">
        <f t="shared" si="32"/>
        <v>370.71</v>
      </c>
      <c r="K221" s="25">
        <v>370.71</v>
      </c>
      <c r="L221" s="25"/>
      <c r="M221" s="38">
        <v>204612.56</v>
      </c>
      <c r="N221" s="270"/>
      <c r="O221" s="37">
        <f t="shared" si="33"/>
        <v>204612.56</v>
      </c>
      <c r="P221" s="39">
        <v>1935</v>
      </c>
      <c r="Q221" s="271"/>
      <c r="R221" s="40"/>
      <c r="S221" s="380">
        <v>1985</v>
      </c>
      <c r="T221" s="382"/>
      <c r="U221" s="288">
        <v>2710</v>
      </c>
      <c r="V221" s="290">
        <f t="shared" si="35"/>
        <v>1004624.1</v>
      </c>
      <c r="W221" s="211"/>
    </row>
    <row r="222" spans="1:23" ht="12.75">
      <c r="A222" s="423">
        <f t="shared" si="34"/>
        <v>74</v>
      </c>
      <c r="B222" s="110">
        <v>3200</v>
      </c>
      <c r="C222" s="367">
        <v>81</v>
      </c>
      <c r="D222" s="27" t="s">
        <v>90</v>
      </c>
      <c r="E222" s="27" t="s">
        <v>91</v>
      </c>
      <c r="F222" s="28">
        <v>20</v>
      </c>
      <c r="G222" s="74">
        <f t="shared" si="31"/>
        <v>3</v>
      </c>
      <c r="H222" s="28">
        <v>3</v>
      </c>
      <c r="I222" s="28">
        <v>0</v>
      </c>
      <c r="J222" s="19">
        <f t="shared" si="32"/>
        <v>146.4</v>
      </c>
      <c r="K222" s="25">
        <v>146.4</v>
      </c>
      <c r="L222" s="25"/>
      <c r="M222" s="21">
        <v>17644.23</v>
      </c>
      <c r="N222" s="22">
        <v>13079.29</v>
      </c>
      <c r="O222" s="21">
        <f t="shared" si="33"/>
        <v>4564.939999999999</v>
      </c>
      <c r="P222" s="23">
        <v>1920</v>
      </c>
      <c r="Q222" s="24" t="s">
        <v>24</v>
      </c>
      <c r="R222" s="24" t="s">
        <v>24</v>
      </c>
      <c r="S222" s="217"/>
      <c r="T222" s="211"/>
      <c r="U222" s="288">
        <v>2710</v>
      </c>
      <c r="V222" s="290">
        <f t="shared" si="35"/>
        <v>396744</v>
      </c>
      <c r="W222" s="211"/>
    </row>
    <row r="223" spans="1:23" ht="12.75">
      <c r="A223" s="423">
        <f t="shared" si="34"/>
        <v>75</v>
      </c>
      <c r="B223" s="110">
        <v>3170</v>
      </c>
      <c r="C223" s="367">
        <v>82</v>
      </c>
      <c r="D223" s="27" t="s">
        <v>78</v>
      </c>
      <c r="E223" s="27" t="s">
        <v>40</v>
      </c>
      <c r="F223" s="28">
        <v>34</v>
      </c>
      <c r="G223" s="74">
        <f t="shared" si="31"/>
        <v>4</v>
      </c>
      <c r="H223" s="28">
        <v>4</v>
      </c>
      <c r="I223" s="28">
        <v>0</v>
      </c>
      <c r="J223" s="19">
        <f t="shared" si="32"/>
        <v>197.51</v>
      </c>
      <c r="K223" s="25">
        <v>197.51</v>
      </c>
      <c r="L223" s="25"/>
      <c r="M223" s="21">
        <v>10883.35</v>
      </c>
      <c r="N223" s="22">
        <v>6562.51</v>
      </c>
      <c r="O223" s="21">
        <f t="shared" si="33"/>
        <v>4320.84</v>
      </c>
      <c r="P223" s="23">
        <v>1925</v>
      </c>
      <c r="Q223" s="24" t="s">
        <v>24</v>
      </c>
      <c r="R223" s="24" t="s">
        <v>24</v>
      </c>
      <c r="S223" s="217"/>
      <c r="T223" s="211"/>
      <c r="U223" s="288">
        <v>2710</v>
      </c>
      <c r="V223" s="290">
        <f t="shared" si="35"/>
        <v>535252.1</v>
      </c>
      <c r="W223" s="211"/>
    </row>
    <row r="224" spans="1:23" ht="12.75">
      <c r="A224" s="423">
        <f t="shared" si="34"/>
        <v>76</v>
      </c>
      <c r="B224" s="443">
        <v>3095</v>
      </c>
      <c r="C224" s="84">
        <v>83</v>
      </c>
      <c r="D224" s="27" t="s">
        <v>22</v>
      </c>
      <c r="E224" s="27" t="s">
        <v>55</v>
      </c>
      <c r="F224" s="28">
        <v>13</v>
      </c>
      <c r="G224" s="74">
        <f t="shared" si="31"/>
        <v>8</v>
      </c>
      <c r="H224" s="28">
        <v>8</v>
      </c>
      <c r="I224" s="28">
        <v>0</v>
      </c>
      <c r="J224" s="173">
        <f t="shared" si="32"/>
        <v>320.24</v>
      </c>
      <c r="K224" s="25">
        <v>320.24</v>
      </c>
      <c r="L224" s="25"/>
      <c r="M224" s="37">
        <v>74949.85</v>
      </c>
      <c r="N224" s="38">
        <v>67064.57</v>
      </c>
      <c r="O224" s="37">
        <f t="shared" si="33"/>
        <v>7885.279999999999</v>
      </c>
      <c r="P224" s="39">
        <v>1925</v>
      </c>
      <c r="Q224" s="40" t="s">
        <v>24</v>
      </c>
      <c r="R224" s="40" t="s">
        <v>24</v>
      </c>
      <c r="S224" s="233"/>
      <c r="T224" s="211"/>
      <c r="U224" s="288">
        <v>2710</v>
      </c>
      <c r="V224" s="290">
        <f t="shared" si="35"/>
        <v>867850.4</v>
      </c>
      <c r="W224" s="211"/>
    </row>
    <row r="225" spans="1:23" ht="12.75">
      <c r="A225" s="423">
        <f t="shared" si="34"/>
        <v>77</v>
      </c>
      <c r="B225" s="443">
        <v>1080</v>
      </c>
      <c r="C225" s="84">
        <v>84</v>
      </c>
      <c r="D225" s="27" t="s">
        <v>22</v>
      </c>
      <c r="E225" s="27" t="s">
        <v>53</v>
      </c>
      <c r="F225" s="28">
        <v>14</v>
      </c>
      <c r="G225" s="74">
        <f t="shared" si="31"/>
        <v>6</v>
      </c>
      <c r="H225" s="28">
        <v>6</v>
      </c>
      <c r="I225" s="28">
        <v>0</v>
      </c>
      <c r="J225" s="19">
        <f t="shared" si="32"/>
        <v>369.07</v>
      </c>
      <c r="K225" s="25">
        <v>369.07</v>
      </c>
      <c r="L225" s="25"/>
      <c r="M225" s="21">
        <v>40360.45</v>
      </c>
      <c r="N225" s="22"/>
      <c r="O225" s="21">
        <f t="shared" si="33"/>
        <v>40360.45</v>
      </c>
      <c r="P225" s="23">
        <v>1935</v>
      </c>
      <c r="Q225" s="24" t="s">
        <v>24</v>
      </c>
      <c r="R225" s="24" t="s">
        <v>24</v>
      </c>
      <c r="S225" s="217"/>
      <c r="T225" s="211"/>
      <c r="U225" s="288">
        <v>2710</v>
      </c>
      <c r="V225" s="290">
        <f t="shared" si="35"/>
        <v>1000179.7</v>
      </c>
      <c r="W225" s="211"/>
    </row>
    <row r="226" spans="1:23" ht="12.75">
      <c r="A226" s="423">
        <f t="shared" si="34"/>
        <v>78</v>
      </c>
      <c r="B226" s="443">
        <v>1046</v>
      </c>
      <c r="C226" s="84">
        <v>85</v>
      </c>
      <c r="D226" s="27" t="s">
        <v>22</v>
      </c>
      <c r="E226" s="27" t="s">
        <v>117</v>
      </c>
      <c r="F226" s="28">
        <v>20</v>
      </c>
      <c r="G226" s="74">
        <f t="shared" si="31"/>
        <v>8</v>
      </c>
      <c r="H226" s="28">
        <v>8</v>
      </c>
      <c r="I226" s="28">
        <v>0</v>
      </c>
      <c r="J226" s="19">
        <f t="shared" si="32"/>
        <v>275.04</v>
      </c>
      <c r="K226" s="25">
        <v>275.04</v>
      </c>
      <c r="L226" s="25"/>
      <c r="M226" s="21">
        <v>103472.89</v>
      </c>
      <c r="N226" s="22">
        <v>58698.24</v>
      </c>
      <c r="O226" s="21">
        <f t="shared" si="33"/>
        <v>44774.65</v>
      </c>
      <c r="P226" s="23">
        <v>1930</v>
      </c>
      <c r="Q226" s="24" t="s">
        <v>24</v>
      </c>
      <c r="R226" s="24" t="s">
        <v>24</v>
      </c>
      <c r="S226" s="218" t="s">
        <v>250</v>
      </c>
      <c r="T226" s="211" t="s">
        <v>255</v>
      </c>
      <c r="U226" s="288">
        <v>2710</v>
      </c>
      <c r="V226" s="290">
        <f t="shared" si="35"/>
        <v>745358.4</v>
      </c>
      <c r="W226" s="211"/>
    </row>
    <row r="227" spans="1:23" ht="12.75">
      <c r="A227" s="423">
        <f t="shared" si="34"/>
        <v>79</v>
      </c>
      <c r="B227" s="443">
        <v>1060</v>
      </c>
      <c r="C227" s="84">
        <v>86</v>
      </c>
      <c r="D227" s="27" t="s">
        <v>22</v>
      </c>
      <c r="E227" s="27" t="s">
        <v>140</v>
      </c>
      <c r="F227" s="28" t="s">
        <v>141</v>
      </c>
      <c r="G227" s="74">
        <f t="shared" si="31"/>
        <v>15</v>
      </c>
      <c r="H227" s="28">
        <v>15</v>
      </c>
      <c r="I227" s="28">
        <v>0</v>
      </c>
      <c r="J227" s="19">
        <f t="shared" si="32"/>
        <v>1098.8</v>
      </c>
      <c r="K227" s="25">
        <v>1098.8</v>
      </c>
      <c r="L227" s="25"/>
      <c r="M227" s="21">
        <v>327068.3</v>
      </c>
      <c r="N227" s="22">
        <v>180408.81</v>
      </c>
      <c r="O227" s="21">
        <f t="shared" si="33"/>
        <v>146659.49</v>
      </c>
      <c r="P227" s="23">
        <v>1900</v>
      </c>
      <c r="Q227" s="24" t="s">
        <v>24</v>
      </c>
      <c r="R227" s="24" t="s">
        <v>24</v>
      </c>
      <c r="S227" s="217"/>
      <c r="T227" s="211"/>
      <c r="U227" s="288">
        <v>2710</v>
      </c>
      <c r="V227" s="290">
        <f t="shared" si="35"/>
        <v>2977748</v>
      </c>
      <c r="W227" s="211"/>
    </row>
    <row r="228" spans="1:23" ht="12.75">
      <c r="A228" s="423">
        <f t="shared" si="34"/>
        <v>80</v>
      </c>
      <c r="B228" s="443">
        <v>3093</v>
      </c>
      <c r="C228" s="84">
        <v>87</v>
      </c>
      <c r="D228" s="27" t="s">
        <v>22</v>
      </c>
      <c r="E228" s="27" t="s">
        <v>55</v>
      </c>
      <c r="F228" s="28">
        <v>9</v>
      </c>
      <c r="G228" s="74">
        <f t="shared" si="31"/>
        <v>6</v>
      </c>
      <c r="H228" s="28">
        <v>6</v>
      </c>
      <c r="I228" s="28">
        <v>0</v>
      </c>
      <c r="J228" s="19">
        <f t="shared" si="32"/>
        <v>410.66</v>
      </c>
      <c r="K228" s="25">
        <v>410.66</v>
      </c>
      <c r="L228" s="25"/>
      <c r="M228" s="21">
        <v>46649.3</v>
      </c>
      <c r="N228" s="22">
        <v>26249.73</v>
      </c>
      <c r="O228" s="21">
        <f t="shared" si="33"/>
        <v>20399.570000000003</v>
      </c>
      <c r="P228" s="23">
        <v>1885</v>
      </c>
      <c r="Q228" s="24" t="s">
        <v>24</v>
      </c>
      <c r="R228" s="24" t="s">
        <v>24</v>
      </c>
      <c r="S228" s="217"/>
      <c r="T228" s="211"/>
      <c r="U228" s="288">
        <v>2710</v>
      </c>
      <c r="V228" s="290">
        <f t="shared" si="35"/>
        <v>1112888.6</v>
      </c>
      <c r="W228" s="211"/>
    </row>
    <row r="229" spans="1:23" ht="12.75">
      <c r="A229" s="423">
        <f t="shared" si="34"/>
        <v>81</v>
      </c>
      <c r="B229" s="110">
        <v>1105</v>
      </c>
      <c r="C229" s="367">
        <v>88</v>
      </c>
      <c r="D229" s="27" t="s">
        <v>22</v>
      </c>
      <c r="E229" s="27" t="s">
        <v>155</v>
      </c>
      <c r="F229" s="28">
        <v>11</v>
      </c>
      <c r="G229" s="74">
        <f t="shared" si="31"/>
        <v>5</v>
      </c>
      <c r="H229" s="28">
        <v>5</v>
      </c>
      <c r="I229" s="28">
        <v>0</v>
      </c>
      <c r="J229" s="19">
        <f t="shared" si="32"/>
        <v>367.64</v>
      </c>
      <c r="K229" s="25">
        <v>367.64</v>
      </c>
      <c r="L229" s="25"/>
      <c r="M229" s="21">
        <v>89099.1</v>
      </c>
      <c r="N229" s="22">
        <v>71304.95</v>
      </c>
      <c r="O229" s="21">
        <f t="shared" si="33"/>
        <v>17794.15000000001</v>
      </c>
      <c r="P229" s="23">
        <v>1935</v>
      </c>
      <c r="Q229" s="24" t="s">
        <v>24</v>
      </c>
      <c r="R229" s="24" t="s">
        <v>24</v>
      </c>
      <c r="S229" s="217"/>
      <c r="T229" s="211"/>
      <c r="U229" s="288">
        <v>2710</v>
      </c>
      <c r="V229" s="290">
        <f t="shared" si="35"/>
        <v>996304.3999999999</v>
      </c>
      <c r="W229" s="211"/>
    </row>
    <row r="230" spans="1:23" ht="12.75">
      <c r="A230" s="423">
        <f t="shared" si="34"/>
        <v>82</v>
      </c>
      <c r="B230" s="443">
        <v>1043</v>
      </c>
      <c r="C230" s="84">
        <v>89</v>
      </c>
      <c r="D230" s="27" t="s">
        <v>22</v>
      </c>
      <c r="E230" s="27" t="s">
        <v>117</v>
      </c>
      <c r="F230" s="28">
        <v>4</v>
      </c>
      <c r="G230" s="74">
        <f t="shared" si="31"/>
        <v>9</v>
      </c>
      <c r="H230" s="28">
        <v>9</v>
      </c>
      <c r="I230" s="28">
        <v>0</v>
      </c>
      <c r="J230" s="19">
        <f t="shared" si="32"/>
        <v>294.06</v>
      </c>
      <c r="K230" s="25">
        <v>294.06</v>
      </c>
      <c r="L230" s="25"/>
      <c r="M230" s="21">
        <v>63902.44</v>
      </c>
      <c r="N230" s="22">
        <v>71337.42</v>
      </c>
      <c r="O230" s="21">
        <f t="shared" si="33"/>
        <v>-7434.979999999996</v>
      </c>
      <c r="P230" s="23">
        <v>1930</v>
      </c>
      <c r="Q230" s="24" t="s">
        <v>24</v>
      </c>
      <c r="R230" s="24" t="s">
        <v>24</v>
      </c>
      <c r="S230" s="217"/>
      <c r="T230" s="211"/>
      <c r="U230" s="288">
        <v>2710</v>
      </c>
      <c r="V230" s="290">
        <f t="shared" si="35"/>
        <v>796902.6</v>
      </c>
      <c r="W230" s="211"/>
    </row>
    <row r="231" spans="1:23" ht="12.75">
      <c r="A231" s="423">
        <f t="shared" si="34"/>
        <v>83</v>
      </c>
      <c r="B231" s="443">
        <v>1040</v>
      </c>
      <c r="C231" s="84">
        <v>92</v>
      </c>
      <c r="D231" s="27" t="s">
        <v>22</v>
      </c>
      <c r="E231" s="27" t="s">
        <v>37</v>
      </c>
      <c r="F231" s="28">
        <v>34</v>
      </c>
      <c r="G231" s="74">
        <f t="shared" si="31"/>
        <v>6</v>
      </c>
      <c r="H231" s="28">
        <v>6</v>
      </c>
      <c r="I231" s="28">
        <v>0</v>
      </c>
      <c r="J231" s="19">
        <f t="shared" si="32"/>
        <v>248.9</v>
      </c>
      <c r="K231" s="25">
        <v>248.9</v>
      </c>
      <c r="L231" s="25"/>
      <c r="M231" s="21">
        <v>68632.03</v>
      </c>
      <c r="N231" s="22">
        <v>56573.67</v>
      </c>
      <c r="O231" s="21">
        <f t="shared" si="33"/>
        <v>12058.36</v>
      </c>
      <c r="P231" s="76">
        <v>1989</v>
      </c>
      <c r="Q231" s="24" t="s">
        <v>24</v>
      </c>
      <c r="R231" s="24" t="s">
        <v>24</v>
      </c>
      <c r="S231" s="218">
        <v>1989</v>
      </c>
      <c r="T231" s="211"/>
      <c r="U231" s="288">
        <v>2710</v>
      </c>
      <c r="V231" s="290">
        <f t="shared" si="35"/>
        <v>674519</v>
      </c>
      <c r="W231" s="211"/>
    </row>
    <row r="232" spans="1:23" ht="12.75">
      <c r="A232" s="423">
        <f t="shared" si="34"/>
        <v>84</v>
      </c>
      <c r="B232" s="443">
        <v>1059</v>
      </c>
      <c r="C232" s="84">
        <v>93</v>
      </c>
      <c r="D232" s="27" t="s">
        <v>22</v>
      </c>
      <c r="E232" s="27" t="s">
        <v>119</v>
      </c>
      <c r="F232" s="28">
        <v>40</v>
      </c>
      <c r="G232" s="74">
        <f t="shared" si="31"/>
        <v>9</v>
      </c>
      <c r="H232" s="28">
        <v>9</v>
      </c>
      <c r="I232" s="28">
        <v>0</v>
      </c>
      <c r="J232" s="19">
        <f t="shared" si="32"/>
        <v>473.02</v>
      </c>
      <c r="K232" s="25">
        <v>473.02</v>
      </c>
      <c r="L232" s="25"/>
      <c r="M232" s="21">
        <v>98380.24</v>
      </c>
      <c r="N232" s="22">
        <v>98380.24</v>
      </c>
      <c r="O232" s="21">
        <f t="shared" si="33"/>
        <v>0</v>
      </c>
      <c r="P232" s="23">
        <v>1925</v>
      </c>
      <c r="Q232" s="24" t="s">
        <v>24</v>
      </c>
      <c r="R232" s="24" t="s">
        <v>24</v>
      </c>
      <c r="S232" s="217"/>
      <c r="T232" s="211"/>
      <c r="U232" s="288">
        <v>2710</v>
      </c>
      <c r="V232" s="290">
        <f t="shared" si="35"/>
        <v>1281884.2</v>
      </c>
      <c r="W232" s="211"/>
    </row>
    <row r="233" spans="1:23" ht="12.75">
      <c r="A233" s="423">
        <f t="shared" si="34"/>
        <v>85</v>
      </c>
      <c r="B233" s="443">
        <v>1016</v>
      </c>
      <c r="C233" s="84">
        <v>95</v>
      </c>
      <c r="D233" s="27" t="s">
        <v>22</v>
      </c>
      <c r="E233" s="27" t="s">
        <v>102</v>
      </c>
      <c r="F233" s="28">
        <v>2</v>
      </c>
      <c r="G233" s="74">
        <f t="shared" si="31"/>
        <v>3</v>
      </c>
      <c r="H233" s="28">
        <v>3</v>
      </c>
      <c r="I233" s="28">
        <v>0</v>
      </c>
      <c r="J233" s="19">
        <f t="shared" si="32"/>
        <v>174.53</v>
      </c>
      <c r="K233" s="25">
        <v>174.53</v>
      </c>
      <c r="L233" s="25"/>
      <c r="M233" s="21">
        <v>10252.19</v>
      </c>
      <c r="N233" s="22">
        <v>3363.46</v>
      </c>
      <c r="O233" s="21">
        <f t="shared" si="33"/>
        <v>6888.7300000000005</v>
      </c>
      <c r="P233" s="23">
        <v>1928</v>
      </c>
      <c r="Q233" s="24" t="s">
        <v>24</v>
      </c>
      <c r="R233" s="24" t="s">
        <v>24</v>
      </c>
      <c r="S233" s="217"/>
      <c r="T233" s="211"/>
      <c r="U233" s="288">
        <v>2710</v>
      </c>
      <c r="V233" s="290">
        <f t="shared" si="35"/>
        <v>472976.3</v>
      </c>
      <c r="W233" s="211"/>
    </row>
    <row r="234" spans="1:23" ht="12.75">
      <c r="A234" s="423">
        <f t="shared" si="34"/>
        <v>86</v>
      </c>
      <c r="B234" s="443">
        <v>1002</v>
      </c>
      <c r="C234" s="84">
        <v>96</v>
      </c>
      <c r="D234" s="27" t="s">
        <v>22</v>
      </c>
      <c r="E234" s="27" t="s">
        <v>26</v>
      </c>
      <c r="F234" s="28">
        <v>13</v>
      </c>
      <c r="G234" s="74">
        <f t="shared" si="31"/>
        <v>7</v>
      </c>
      <c r="H234" s="28">
        <v>7</v>
      </c>
      <c r="I234" s="28">
        <v>0</v>
      </c>
      <c r="J234" s="19">
        <f t="shared" si="32"/>
        <v>366.21</v>
      </c>
      <c r="K234" s="25">
        <v>366.21</v>
      </c>
      <c r="L234" s="25"/>
      <c r="M234" s="21">
        <v>26837.62</v>
      </c>
      <c r="N234" s="22">
        <v>15057.46</v>
      </c>
      <c r="O234" s="21">
        <f t="shared" si="33"/>
        <v>11780.16</v>
      </c>
      <c r="P234" s="23">
        <v>1935</v>
      </c>
      <c r="Q234" s="24" t="s">
        <v>24</v>
      </c>
      <c r="R234" s="24" t="s">
        <v>24</v>
      </c>
      <c r="S234" s="217"/>
      <c r="T234" s="211"/>
      <c r="U234" s="288">
        <v>2710</v>
      </c>
      <c r="V234" s="290">
        <f t="shared" si="35"/>
        <v>992429.1</v>
      </c>
      <c r="W234" s="211"/>
    </row>
    <row r="235" spans="1:23" ht="12.75">
      <c r="A235" s="423">
        <f t="shared" si="34"/>
        <v>87</v>
      </c>
      <c r="B235" s="443">
        <v>1086</v>
      </c>
      <c r="C235" s="84">
        <v>98</v>
      </c>
      <c r="D235" s="27" t="s">
        <v>22</v>
      </c>
      <c r="E235" s="27" t="s">
        <v>127</v>
      </c>
      <c r="F235" s="28">
        <v>1</v>
      </c>
      <c r="G235" s="74">
        <f t="shared" si="31"/>
        <v>5</v>
      </c>
      <c r="H235" s="28">
        <v>5</v>
      </c>
      <c r="I235" s="28">
        <v>0</v>
      </c>
      <c r="J235" s="19">
        <f t="shared" si="32"/>
        <v>333.63</v>
      </c>
      <c r="K235" s="25">
        <v>333.63</v>
      </c>
      <c r="L235" s="25"/>
      <c r="M235" s="21">
        <v>64115.4</v>
      </c>
      <c r="N235" s="22">
        <v>24853</v>
      </c>
      <c r="O235" s="21">
        <f t="shared" si="33"/>
        <v>39262.4</v>
      </c>
      <c r="P235" s="23">
        <v>1927</v>
      </c>
      <c r="Q235" s="24" t="s">
        <v>24</v>
      </c>
      <c r="R235" s="24" t="s">
        <v>24</v>
      </c>
      <c r="S235" s="256"/>
      <c r="T235" s="258"/>
      <c r="U235" s="288">
        <v>2710</v>
      </c>
      <c r="V235" s="290">
        <f t="shared" si="35"/>
        <v>904137.2999999999</v>
      </c>
      <c r="W235" s="211"/>
    </row>
    <row r="236" spans="1:23" ht="12.75">
      <c r="A236" s="423">
        <f t="shared" si="34"/>
        <v>88</v>
      </c>
      <c r="B236" s="110">
        <v>3154</v>
      </c>
      <c r="C236" s="367">
        <v>99</v>
      </c>
      <c r="D236" s="27" t="s">
        <v>22</v>
      </c>
      <c r="E236" s="27" t="s">
        <v>152</v>
      </c>
      <c r="F236" s="28">
        <v>93</v>
      </c>
      <c r="G236" s="74">
        <f t="shared" si="31"/>
        <v>4</v>
      </c>
      <c r="H236" s="28">
        <v>4</v>
      </c>
      <c r="I236" s="28">
        <v>0</v>
      </c>
      <c r="J236" s="19">
        <f t="shared" si="32"/>
        <v>282.43</v>
      </c>
      <c r="K236" s="25">
        <v>282.43</v>
      </c>
      <c r="L236" s="25"/>
      <c r="M236" s="22">
        <v>55350.83</v>
      </c>
      <c r="N236" s="22">
        <v>55350.83</v>
      </c>
      <c r="O236" s="21">
        <f t="shared" si="33"/>
        <v>0</v>
      </c>
      <c r="P236" s="23">
        <v>1906</v>
      </c>
      <c r="Q236" s="24" t="s">
        <v>24</v>
      </c>
      <c r="R236" s="201" t="s">
        <v>24</v>
      </c>
      <c r="S236" s="378"/>
      <c r="T236" s="211"/>
      <c r="U236" s="288">
        <v>2710</v>
      </c>
      <c r="V236" s="290">
        <f t="shared" si="35"/>
        <v>765385.3</v>
      </c>
      <c r="W236" s="211"/>
    </row>
    <row r="237" spans="1:23" ht="12.75">
      <c r="A237" s="423">
        <f t="shared" si="34"/>
        <v>89</v>
      </c>
      <c r="B237" s="443">
        <v>1005</v>
      </c>
      <c r="C237" s="84">
        <v>100</v>
      </c>
      <c r="D237" s="27" t="s">
        <v>22</v>
      </c>
      <c r="E237" s="27" t="s">
        <v>26</v>
      </c>
      <c r="F237" s="28">
        <v>25</v>
      </c>
      <c r="G237" s="74">
        <f t="shared" si="31"/>
        <v>9</v>
      </c>
      <c r="H237" s="28">
        <v>9</v>
      </c>
      <c r="I237" s="28">
        <v>0</v>
      </c>
      <c r="J237" s="19">
        <f t="shared" si="32"/>
        <v>345.14</v>
      </c>
      <c r="K237" s="25">
        <v>345.14</v>
      </c>
      <c r="L237" s="25"/>
      <c r="M237" s="21">
        <v>73937.91</v>
      </c>
      <c r="N237" s="22">
        <v>23678.2</v>
      </c>
      <c r="O237" s="21">
        <f t="shared" si="33"/>
        <v>50259.71000000001</v>
      </c>
      <c r="P237" s="23">
        <v>1935</v>
      </c>
      <c r="Q237" s="24" t="s">
        <v>24</v>
      </c>
      <c r="R237" s="24" t="s">
        <v>24</v>
      </c>
      <c r="S237" s="265"/>
      <c r="T237" s="266"/>
      <c r="U237" s="288">
        <v>2710</v>
      </c>
      <c r="V237" s="290">
        <f t="shared" si="35"/>
        <v>935329.3999999999</v>
      </c>
      <c r="W237" s="211"/>
    </row>
    <row r="238" spans="1:23" ht="12.75">
      <c r="A238" s="423">
        <f t="shared" si="34"/>
        <v>90</v>
      </c>
      <c r="B238" s="443">
        <v>1044</v>
      </c>
      <c r="C238" s="84">
        <v>101</v>
      </c>
      <c r="D238" s="27" t="s">
        <v>22</v>
      </c>
      <c r="E238" s="27" t="s">
        <v>117</v>
      </c>
      <c r="F238" s="28">
        <v>6</v>
      </c>
      <c r="G238" s="74">
        <f t="shared" si="31"/>
        <v>9</v>
      </c>
      <c r="H238" s="28">
        <v>9</v>
      </c>
      <c r="I238" s="28">
        <v>0</v>
      </c>
      <c r="J238" s="19">
        <f t="shared" si="32"/>
        <v>323.98</v>
      </c>
      <c r="K238" s="25">
        <v>323.98</v>
      </c>
      <c r="L238" s="25"/>
      <c r="M238" s="21">
        <v>76261.42</v>
      </c>
      <c r="N238" s="22">
        <v>72585.97</v>
      </c>
      <c r="O238" s="21">
        <f t="shared" si="33"/>
        <v>3675.449999999997</v>
      </c>
      <c r="P238" s="23">
        <v>1930</v>
      </c>
      <c r="Q238" s="24" t="s">
        <v>24</v>
      </c>
      <c r="R238" s="201" t="s">
        <v>24</v>
      </c>
      <c r="S238" s="378"/>
      <c r="T238" s="211"/>
      <c r="U238" s="288">
        <v>2710</v>
      </c>
      <c r="V238" s="290">
        <f t="shared" si="35"/>
        <v>877985.8</v>
      </c>
      <c r="W238" s="211"/>
    </row>
    <row r="239" spans="1:23" ht="12.75">
      <c r="A239" s="423">
        <f t="shared" si="34"/>
        <v>91</v>
      </c>
      <c r="B239" s="443">
        <v>1001</v>
      </c>
      <c r="C239" s="84">
        <v>102</v>
      </c>
      <c r="D239" s="27" t="s">
        <v>22</v>
      </c>
      <c r="E239" s="27" t="s">
        <v>26</v>
      </c>
      <c r="F239" s="28">
        <v>6</v>
      </c>
      <c r="G239" s="74">
        <f t="shared" si="31"/>
        <v>5</v>
      </c>
      <c r="H239" s="28">
        <v>5</v>
      </c>
      <c r="I239" s="28">
        <v>0</v>
      </c>
      <c r="J239" s="19">
        <f t="shared" si="32"/>
        <v>356.59</v>
      </c>
      <c r="K239" s="25">
        <v>356.59</v>
      </c>
      <c r="L239" s="25"/>
      <c r="M239" s="21">
        <v>82500.95</v>
      </c>
      <c r="N239" s="22">
        <v>26426.56</v>
      </c>
      <c r="O239" s="21">
        <f t="shared" si="33"/>
        <v>56074.39</v>
      </c>
      <c r="P239" s="23">
        <v>1935</v>
      </c>
      <c r="Q239" s="24" t="s">
        <v>24</v>
      </c>
      <c r="R239" s="24" t="s">
        <v>24</v>
      </c>
      <c r="S239" s="259"/>
      <c r="T239" s="260"/>
      <c r="U239" s="288">
        <v>2710</v>
      </c>
      <c r="V239" s="290">
        <f t="shared" si="35"/>
        <v>966358.8999999999</v>
      </c>
      <c r="W239" s="211"/>
    </row>
    <row r="240" spans="1:23" ht="12.75">
      <c r="A240" s="423">
        <f t="shared" si="34"/>
        <v>92</v>
      </c>
      <c r="B240" s="110">
        <v>3023</v>
      </c>
      <c r="C240" s="367">
        <v>103</v>
      </c>
      <c r="D240" s="27" t="s">
        <v>87</v>
      </c>
      <c r="E240" s="27" t="s">
        <v>161</v>
      </c>
      <c r="F240" s="28">
        <v>16</v>
      </c>
      <c r="G240" s="74">
        <f t="shared" si="31"/>
        <v>8</v>
      </c>
      <c r="H240" s="28">
        <v>8</v>
      </c>
      <c r="I240" s="28">
        <v>0</v>
      </c>
      <c r="J240" s="19">
        <f t="shared" si="32"/>
        <v>304.55</v>
      </c>
      <c r="K240" s="25">
        <v>304.55</v>
      </c>
      <c r="L240" s="25"/>
      <c r="M240" s="21">
        <v>24505.04</v>
      </c>
      <c r="N240" s="22">
        <v>19561.5</v>
      </c>
      <c r="O240" s="21">
        <f t="shared" si="33"/>
        <v>4943.540000000001</v>
      </c>
      <c r="P240" s="23">
        <v>1895</v>
      </c>
      <c r="Q240" s="24" t="s">
        <v>24</v>
      </c>
      <c r="R240" s="24" t="s">
        <v>24</v>
      </c>
      <c r="S240" s="218" t="s">
        <v>250</v>
      </c>
      <c r="T240" s="211" t="s">
        <v>259</v>
      </c>
      <c r="U240" s="288">
        <v>2710</v>
      </c>
      <c r="V240" s="290">
        <f t="shared" si="35"/>
        <v>825330.5</v>
      </c>
      <c r="W240" s="211"/>
    </row>
    <row r="241" spans="1:23" ht="12.75">
      <c r="A241" s="423">
        <f t="shared" si="34"/>
        <v>93</v>
      </c>
      <c r="B241" s="443">
        <v>3078</v>
      </c>
      <c r="C241" s="84">
        <v>104</v>
      </c>
      <c r="D241" s="27" t="s">
        <v>22</v>
      </c>
      <c r="E241" s="27" t="s">
        <v>43</v>
      </c>
      <c r="F241" s="28">
        <v>3</v>
      </c>
      <c r="G241" s="74">
        <f t="shared" si="31"/>
        <v>7</v>
      </c>
      <c r="H241" s="28">
        <v>7</v>
      </c>
      <c r="I241" s="28">
        <v>0</v>
      </c>
      <c r="J241" s="19">
        <f t="shared" si="32"/>
        <v>468.54</v>
      </c>
      <c r="K241" s="25">
        <v>468.54</v>
      </c>
      <c r="L241" s="25"/>
      <c r="M241" s="37">
        <v>47969.76</v>
      </c>
      <c r="N241" s="22">
        <v>14813.95</v>
      </c>
      <c r="O241" s="21">
        <f t="shared" si="33"/>
        <v>33155.81</v>
      </c>
      <c r="P241" s="23">
        <v>1928</v>
      </c>
      <c r="Q241" s="24" t="s">
        <v>24</v>
      </c>
      <c r="R241" s="24" t="s">
        <v>24</v>
      </c>
      <c r="S241" s="217"/>
      <c r="T241" s="211"/>
      <c r="U241" s="288">
        <v>2710</v>
      </c>
      <c r="V241" s="290">
        <f t="shared" si="35"/>
        <v>1269743.4000000001</v>
      </c>
      <c r="W241" s="211"/>
    </row>
    <row r="242" spans="1:23" ht="12.75">
      <c r="A242" s="423">
        <f t="shared" si="34"/>
        <v>94</v>
      </c>
      <c r="B242" s="443">
        <v>3049</v>
      </c>
      <c r="C242" s="84">
        <v>105</v>
      </c>
      <c r="D242" s="27" t="s">
        <v>22</v>
      </c>
      <c r="E242" s="27" t="s">
        <v>37</v>
      </c>
      <c r="F242" s="28" t="s">
        <v>292</v>
      </c>
      <c r="G242" s="74">
        <f t="shared" si="31"/>
        <v>10</v>
      </c>
      <c r="H242" s="28">
        <v>8</v>
      </c>
      <c r="I242" s="28">
        <v>2</v>
      </c>
      <c r="J242" s="19">
        <f t="shared" si="32"/>
        <v>616.22</v>
      </c>
      <c r="K242" s="25">
        <v>406.86</v>
      </c>
      <c r="L242" s="25">
        <v>209.36</v>
      </c>
      <c r="M242" s="37">
        <v>205771.77</v>
      </c>
      <c r="N242" s="22">
        <v>117126.91</v>
      </c>
      <c r="O242" s="21">
        <f t="shared" si="33"/>
        <v>88644.85999999999</v>
      </c>
      <c r="P242" s="76">
        <v>1984</v>
      </c>
      <c r="Q242" s="24"/>
      <c r="R242" s="24"/>
      <c r="S242" s="218" t="s">
        <v>254</v>
      </c>
      <c r="T242" s="211" t="s">
        <v>255</v>
      </c>
      <c r="U242" s="288">
        <v>2710</v>
      </c>
      <c r="V242" s="290">
        <f t="shared" si="35"/>
        <v>1669956.2000000002</v>
      </c>
      <c r="W242" s="211"/>
    </row>
    <row r="243" spans="1:23" ht="12.75">
      <c r="A243" s="423">
        <f t="shared" si="34"/>
        <v>95</v>
      </c>
      <c r="B243" s="110">
        <v>3194</v>
      </c>
      <c r="C243" s="367">
        <v>106</v>
      </c>
      <c r="D243" s="27" t="s">
        <v>78</v>
      </c>
      <c r="E243" s="27" t="s">
        <v>84</v>
      </c>
      <c r="F243" s="28">
        <v>21</v>
      </c>
      <c r="G243" s="74">
        <f t="shared" si="31"/>
        <v>3</v>
      </c>
      <c r="H243" s="28">
        <v>2</v>
      </c>
      <c r="I243" s="28">
        <v>1</v>
      </c>
      <c r="J243" s="19">
        <f t="shared" si="32"/>
        <v>316.06</v>
      </c>
      <c r="K243" s="25">
        <v>117.87</v>
      </c>
      <c r="L243" s="25">
        <v>198.19</v>
      </c>
      <c r="M243" s="21">
        <v>18719.85</v>
      </c>
      <c r="N243" s="22">
        <v>11397.94</v>
      </c>
      <c r="O243" s="21">
        <f t="shared" si="33"/>
        <v>7321.909999999998</v>
      </c>
      <c r="P243" s="23">
        <v>1920</v>
      </c>
      <c r="Q243" s="24" t="s">
        <v>24</v>
      </c>
      <c r="R243" s="24" t="s">
        <v>24</v>
      </c>
      <c r="S243" s="218" t="s">
        <v>250</v>
      </c>
      <c r="T243" s="211" t="s">
        <v>259</v>
      </c>
      <c r="U243" s="288">
        <v>2710</v>
      </c>
      <c r="V243" s="290">
        <f t="shared" si="35"/>
        <v>856522.6</v>
      </c>
      <c r="W243" s="211"/>
    </row>
    <row r="244" spans="1:23" ht="12.75">
      <c r="A244" s="423">
        <f t="shared" si="34"/>
        <v>96</v>
      </c>
      <c r="B244" s="443">
        <v>1028</v>
      </c>
      <c r="C244" s="84">
        <v>107</v>
      </c>
      <c r="D244" s="27" t="s">
        <v>22</v>
      </c>
      <c r="E244" s="27" t="s">
        <v>27</v>
      </c>
      <c r="F244" s="28">
        <v>22</v>
      </c>
      <c r="G244" s="74">
        <f t="shared" si="31"/>
        <v>6</v>
      </c>
      <c r="H244" s="28">
        <v>6</v>
      </c>
      <c r="I244" s="28">
        <v>0</v>
      </c>
      <c r="J244" s="19">
        <f t="shared" si="32"/>
        <v>374.27</v>
      </c>
      <c r="K244" s="25">
        <v>374.27</v>
      </c>
      <c r="L244" s="25"/>
      <c r="M244" s="21">
        <v>26007.08</v>
      </c>
      <c r="N244" s="22">
        <v>19731.84</v>
      </c>
      <c r="O244" s="21">
        <f t="shared" si="33"/>
        <v>6275.240000000002</v>
      </c>
      <c r="P244" s="23">
        <v>1935</v>
      </c>
      <c r="Q244" s="24" t="s">
        <v>24</v>
      </c>
      <c r="R244" s="24" t="s">
        <v>24</v>
      </c>
      <c r="S244" s="217"/>
      <c r="T244" s="211"/>
      <c r="U244" s="288">
        <v>2710</v>
      </c>
      <c r="V244" s="290">
        <f t="shared" si="35"/>
        <v>1014271.7</v>
      </c>
      <c r="W244" s="211"/>
    </row>
    <row r="245" spans="1:23" ht="12.75">
      <c r="A245" s="423">
        <f t="shared" si="34"/>
        <v>97</v>
      </c>
      <c r="B245" s="443">
        <v>3089</v>
      </c>
      <c r="C245" s="84">
        <v>108</v>
      </c>
      <c r="D245" s="27" t="s">
        <v>22</v>
      </c>
      <c r="E245" s="27" t="s">
        <v>47</v>
      </c>
      <c r="F245" s="28" t="s">
        <v>118</v>
      </c>
      <c r="G245" s="74">
        <f aca="true" t="shared" si="36" ref="G245:G264">I245+H245</f>
        <v>9</v>
      </c>
      <c r="H245" s="28">
        <v>9</v>
      </c>
      <c r="I245" s="28">
        <v>0</v>
      </c>
      <c r="J245" s="19">
        <f aca="true" t="shared" si="37" ref="J245:J276">SUM(K245:L245)</f>
        <v>642</v>
      </c>
      <c r="K245" s="25">
        <v>642</v>
      </c>
      <c r="L245" s="25"/>
      <c r="M245" s="21">
        <v>120798.07</v>
      </c>
      <c r="N245" s="22">
        <v>120798.07</v>
      </c>
      <c r="O245" s="21">
        <f aca="true" t="shared" si="38" ref="O245:O276">M245-N245</f>
        <v>0</v>
      </c>
      <c r="P245" s="23">
        <v>1930</v>
      </c>
      <c r="Q245" s="24" t="s">
        <v>24</v>
      </c>
      <c r="R245" s="24" t="s">
        <v>24</v>
      </c>
      <c r="S245" s="217"/>
      <c r="T245" s="211"/>
      <c r="U245" s="288">
        <v>2710</v>
      </c>
      <c r="V245" s="290">
        <f t="shared" si="35"/>
        <v>1739820</v>
      </c>
      <c r="W245" s="211"/>
    </row>
    <row r="246" spans="1:23" ht="12.75">
      <c r="A246" s="423">
        <f t="shared" si="34"/>
        <v>98</v>
      </c>
      <c r="B246" s="443">
        <v>1048</v>
      </c>
      <c r="C246" s="84">
        <v>109</v>
      </c>
      <c r="D246" s="27" t="s">
        <v>22</v>
      </c>
      <c r="E246" s="27" t="s">
        <v>119</v>
      </c>
      <c r="F246" s="28">
        <v>3</v>
      </c>
      <c r="G246" s="74">
        <f t="shared" si="36"/>
        <v>4</v>
      </c>
      <c r="H246" s="28">
        <v>4</v>
      </c>
      <c r="I246" s="28">
        <v>0</v>
      </c>
      <c r="J246" s="19">
        <f t="shared" si="37"/>
        <v>194.24</v>
      </c>
      <c r="K246" s="25">
        <v>194.24</v>
      </c>
      <c r="L246" s="25"/>
      <c r="M246" s="21">
        <v>32372.98</v>
      </c>
      <c r="N246" s="22">
        <v>32372.98</v>
      </c>
      <c r="O246" s="21">
        <f t="shared" si="38"/>
        <v>0</v>
      </c>
      <c r="P246" s="23">
        <v>1930</v>
      </c>
      <c r="Q246" s="24" t="s">
        <v>24</v>
      </c>
      <c r="R246" s="24" t="s">
        <v>24</v>
      </c>
      <c r="S246" s="217"/>
      <c r="T246" s="211"/>
      <c r="U246" s="288">
        <v>2710</v>
      </c>
      <c r="V246" s="290">
        <f t="shared" si="35"/>
        <v>526390.4</v>
      </c>
      <c r="W246" s="211"/>
    </row>
    <row r="247" spans="1:23" ht="12.75">
      <c r="A247" s="423">
        <f t="shared" si="34"/>
        <v>99</v>
      </c>
      <c r="B247" s="443">
        <v>1034</v>
      </c>
      <c r="C247" s="84">
        <v>110</v>
      </c>
      <c r="D247" s="27" t="s">
        <v>22</v>
      </c>
      <c r="E247" s="27" t="s">
        <v>110</v>
      </c>
      <c r="F247" s="28" t="s">
        <v>113</v>
      </c>
      <c r="G247" s="74">
        <f t="shared" si="36"/>
        <v>10</v>
      </c>
      <c r="H247" s="28">
        <v>10</v>
      </c>
      <c r="I247" s="28">
        <v>0</v>
      </c>
      <c r="J247" s="19">
        <f t="shared" si="37"/>
        <v>605.89</v>
      </c>
      <c r="K247" s="25">
        <v>605.89</v>
      </c>
      <c r="L247" s="25"/>
      <c r="M247" s="21">
        <v>182708.68</v>
      </c>
      <c r="N247" s="22">
        <v>132239.03</v>
      </c>
      <c r="O247" s="21">
        <f t="shared" si="38"/>
        <v>50469.649999999994</v>
      </c>
      <c r="P247" s="23">
        <v>1935</v>
      </c>
      <c r="Q247" s="24" t="s">
        <v>24</v>
      </c>
      <c r="R247" s="24" t="s">
        <v>24</v>
      </c>
      <c r="S247" s="217"/>
      <c r="T247" s="211"/>
      <c r="U247" s="288">
        <v>2710</v>
      </c>
      <c r="V247" s="290">
        <f t="shared" si="35"/>
        <v>1641961.9</v>
      </c>
      <c r="W247" s="211"/>
    </row>
    <row r="248" spans="1:23" ht="24.75" customHeight="1">
      <c r="A248" s="423">
        <f t="shared" si="34"/>
        <v>100</v>
      </c>
      <c r="B248" s="443">
        <v>1042</v>
      </c>
      <c r="C248" s="84">
        <v>112</v>
      </c>
      <c r="D248" s="27" t="s">
        <v>22</v>
      </c>
      <c r="E248" s="27" t="s">
        <v>43</v>
      </c>
      <c r="F248" s="28">
        <v>1</v>
      </c>
      <c r="G248" s="74">
        <f t="shared" si="36"/>
        <v>6</v>
      </c>
      <c r="H248" s="28">
        <v>6</v>
      </c>
      <c r="I248" s="28">
        <v>0</v>
      </c>
      <c r="J248" s="19">
        <f t="shared" si="37"/>
        <v>381.74</v>
      </c>
      <c r="K248" s="25">
        <v>381.74</v>
      </c>
      <c r="L248" s="25"/>
      <c r="M248" s="21">
        <v>56495.57</v>
      </c>
      <c r="N248" s="22">
        <v>13401.05</v>
      </c>
      <c r="O248" s="21">
        <f t="shared" si="38"/>
        <v>43094.520000000004</v>
      </c>
      <c r="P248" s="23">
        <v>1928</v>
      </c>
      <c r="Q248" s="24" t="s">
        <v>24</v>
      </c>
      <c r="R248" s="24" t="s">
        <v>24</v>
      </c>
      <c r="S248" s="217"/>
      <c r="T248" s="211"/>
      <c r="U248" s="288">
        <v>2710</v>
      </c>
      <c r="V248" s="290">
        <f t="shared" si="35"/>
        <v>1034515.4</v>
      </c>
      <c r="W248" s="211"/>
    </row>
    <row r="249" spans="1:23" ht="12.75">
      <c r="A249" s="423">
        <f t="shared" si="34"/>
        <v>101</v>
      </c>
      <c r="B249" s="443">
        <v>1035</v>
      </c>
      <c r="C249" s="84">
        <v>113</v>
      </c>
      <c r="D249" s="27" t="s">
        <v>22</v>
      </c>
      <c r="E249" s="27" t="s">
        <v>110</v>
      </c>
      <c r="F249" s="28">
        <v>44</v>
      </c>
      <c r="G249" s="74">
        <f t="shared" si="36"/>
        <v>5</v>
      </c>
      <c r="H249" s="28">
        <v>5</v>
      </c>
      <c r="I249" s="28">
        <v>0</v>
      </c>
      <c r="J249" s="19">
        <f t="shared" si="37"/>
        <v>336.06</v>
      </c>
      <c r="K249" s="25">
        <v>336.06</v>
      </c>
      <c r="L249" s="25"/>
      <c r="M249" s="21">
        <v>122202.94</v>
      </c>
      <c r="N249" s="22">
        <v>80581.44</v>
      </c>
      <c r="O249" s="21">
        <f t="shared" si="38"/>
        <v>41621.5</v>
      </c>
      <c r="P249" s="23">
        <v>1935</v>
      </c>
      <c r="Q249" s="24" t="s">
        <v>24</v>
      </c>
      <c r="R249" s="24" t="s">
        <v>24</v>
      </c>
      <c r="S249" s="217"/>
      <c r="T249" s="211"/>
      <c r="U249" s="288">
        <v>2710</v>
      </c>
      <c r="V249" s="290">
        <f>J249*U249</f>
        <v>910722.6</v>
      </c>
      <c r="W249" s="211"/>
    </row>
    <row r="250" spans="1:23" ht="12.75">
      <c r="A250" s="423">
        <f t="shared" si="34"/>
        <v>102</v>
      </c>
      <c r="B250" s="443">
        <v>1014</v>
      </c>
      <c r="C250" s="84">
        <v>114</v>
      </c>
      <c r="D250" s="26" t="s">
        <v>22</v>
      </c>
      <c r="E250" s="27" t="s">
        <v>26</v>
      </c>
      <c r="F250" s="28">
        <v>8</v>
      </c>
      <c r="G250" s="74">
        <f t="shared" si="36"/>
        <v>7</v>
      </c>
      <c r="H250" s="28">
        <v>7</v>
      </c>
      <c r="I250" s="28">
        <v>0</v>
      </c>
      <c r="J250" s="19">
        <f t="shared" si="37"/>
        <v>365.54</v>
      </c>
      <c r="K250" s="25">
        <v>365.54</v>
      </c>
      <c r="L250" s="25"/>
      <c r="M250" s="21">
        <v>56817.67</v>
      </c>
      <c r="N250" s="22">
        <v>34746.42</v>
      </c>
      <c r="O250" s="21">
        <f t="shared" si="38"/>
        <v>22071.25</v>
      </c>
      <c r="P250" s="23">
        <v>1935</v>
      </c>
      <c r="Q250" s="24" t="s">
        <v>24</v>
      </c>
      <c r="R250" s="24" t="s">
        <v>24</v>
      </c>
      <c r="S250" s="256"/>
      <c r="T250" s="211"/>
      <c r="U250" s="288">
        <v>2710</v>
      </c>
      <c r="V250" s="290">
        <f>J250*U250</f>
        <v>990613.4</v>
      </c>
      <c r="W250" s="211"/>
    </row>
    <row r="251" spans="1:23" ht="12.75">
      <c r="A251" s="423">
        <f t="shared" si="34"/>
        <v>103</v>
      </c>
      <c r="B251" s="443">
        <v>1110</v>
      </c>
      <c r="C251" s="84">
        <v>115</v>
      </c>
      <c r="D251" s="27" t="s">
        <v>22</v>
      </c>
      <c r="E251" s="27" t="s">
        <v>26</v>
      </c>
      <c r="F251" s="28" t="s">
        <v>98</v>
      </c>
      <c r="G251" s="74">
        <f t="shared" si="36"/>
        <v>11</v>
      </c>
      <c r="H251" s="28">
        <v>10</v>
      </c>
      <c r="I251" s="28">
        <v>1</v>
      </c>
      <c r="J251" s="19">
        <f t="shared" si="37"/>
        <v>801.73</v>
      </c>
      <c r="K251" s="25">
        <v>714.27</v>
      </c>
      <c r="L251" s="25">
        <v>87.46</v>
      </c>
      <c r="M251" s="37">
        <v>34209</v>
      </c>
      <c r="N251" s="22">
        <v>6853.29</v>
      </c>
      <c r="O251" s="21">
        <f t="shared" si="38"/>
        <v>27355.71</v>
      </c>
      <c r="P251" s="23">
        <v>1935</v>
      </c>
      <c r="Q251" s="24" t="s">
        <v>24</v>
      </c>
      <c r="R251" s="201" t="s">
        <v>24</v>
      </c>
      <c r="S251" s="378"/>
      <c r="U251" s="288">
        <v>2710</v>
      </c>
      <c r="V251" s="290">
        <f>J251*U251</f>
        <v>2172688.3000000003</v>
      </c>
      <c r="W251" s="211"/>
    </row>
    <row r="252" spans="1:23" ht="12.75">
      <c r="A252" s="458">
        <f t="shared" si="34"/>
        <v>104</v>
      </c>
      <c r="B252" s="448">
        <v>3186</v>
      </c>
      <c r="C252" s="370">
        <v>116</v>
      </c>
      <c r="D252" s="192" t="s">
        <v>78</v>
      </c>
      <c r="E252" s="192" t="s">
        <v>84</v>
      </c>
      <c r="F252" s="193">
        <v>2</v>
      </c>
      <c r="G252" s="331">
        <f t="shared" si="36"/>
        <v>9</v>
      </c>
      <c r="H252" s="193">
        <v>8</v>
      </c>
      <c r="I252" s="193">
        <v>1</v>
      </c>
      <c r="J252" s="194">
        <f t="shared" si="37"/>
        <v>0</v>
      </c>
      <c r="K252" s="195"/>
      <c r="L252" s="195"/>
      <c r="M252" s="196"/>
      <c r="N252" s="197">
        <v>22642.3</v>
      </c>
      <c r="O252" s="196">
        <f t="shared" si="38"/>
        <v>-22642.3</v>
      </c>
      <c r="P252" s="198"/>
      <c r="Q252" s="199"/>
      <c r="R252" s="199"/>
      <c r="S252" s="379"/>
      <c r="T252" s="332"/>
      <c r="U252" s="333"/>
      <c r="V252" s="343"/>
      <c r="W252" s="310" t="s">
        <v>273</v>
      </c>
    </row>
    <row r="253" spans="1:23" ht="12.75">
      <c r="A253" s="423">
        <f t="shared" si="34"/>
        <v>105</v>
      </c>
      <c r="B253" s="443">
        <v>3098</v>
      </c>
      <c r="C253" s="84">
        <v>117</v>
      </c>
      <c r="D253" s="27" t="s">
        <v>22</v>
      </c>
      <c r="E253" s="27" t="s">
        <v>55</v>
      </c>
      <c r="F253" s="28" t="s">
        <v>126</v>
      </c>
      <c r="G253" s="74">
        <f t="shared" si="36"/>
        <v>12</v>
      </c>
      <c r="H253" s="28">
        <v>12</v>
      </c>
      <c r="I253" s="28">
        <v>0</v>
      </c>
      <c r="J253" s="19">
        <f t="shared" si="37"/>
        <v>660.88</v>
      </c>
      <c r="K253" s="25">
        <v>660.88</v>
      </c>
      <c r="L253" s="25"/>
      <c r="M253" s="21">
        <v>59045.88</v>
      </c>
      <c r="N253" s="22">
        <v>48914.99</v>
      </c>
      <c r="O253" s="21">
        <f t="shared" si="38"/>
        <v>10130.89</v>
      </c>
      <c r="P253" s="23">
        <v>1977</v>
      </c>
      <c r="Q253" s="24"/>
      <c r="R253" s="24"/>
      <c r="S253" s="218">
        <v>1977</v>
      </c>
      <c r="T253" s="211"/>
      <c r="U253" s="288">
        <v>2710</v>
      </c>
      <c r="V253" s="290">
        <f aca="true" t="shared" si="39" ref="V253:V297">J253*U253</f>
        <v>1790984.8</v>
      </c>
      <c r="W253" s="211"/>
    </row>
    <row r="254" spans="1:23" ht="12.75">
      <c r="A254" s="423">
        <f t="shared" si="34"/>
        <v>106</v>
      </c>
      <c r="B254" s="443">
        <v>1058</v>
      </c>
      <c r="C254" s="84">
        <v>118</v>
      </c>
      <c r="D254" s="27" t="s">
        <v>22</v>
      </c>
      <c r="E254" s="27" t="s">
        <v>119</v>
      </c>
      <c r="F254" s="28">
        <v>38</v>
      </c>
      <c r="G254" s="74">
        <f t="shared" si="36"/>
        <v>9</v>
      </c>
      <c r="H254" s="28">
        <v>9</v>
      </c>
      <c r="I254" s="28">
        <v>0</v>
      </c>
      <c r="J254" s="19">
        <f t="shared" si="37"/>
        <v>477.02</v>
      </c>
      <c r="K254" s="25">
        <v>477.02</v>
      </c>
      <c r="L254" s="25"/>
      <c r="M254" s="21">
        <v>112365.94</v>
      </c>
      <c r="N254" s="22">
        <v>97171.84</v>
      </c>
      <c r="O254" s="21">
        <f t="shared" si="38"/>
        <v>15194.100000000006</v>
      </c>
      <c r="P254" s="23">
        <v>1928</v>
      </c>
      <c r="Q254" s="24" t="s">
        <v>24</v>
      </c>
      <c r="R254" s="24" t="s">
        <v>24</v>
      </c>
      <c r="S254" s="256"/>
      <c r="T254" s="258"/>
      <c r="U254" s="288">
        <v>2710</v>
      </c>
      <c r="V254" s="290">
        <f t="shared" si="39"/>
        <v>1292724.2</v>
      </c>
      <c r="W254" s="211"/>
    </row>
    <row r="255" spans="1:23" ht="12.75">
      <c r="A255" s="423">
        <f t="shared" si="34"/>
        <v>107</v>
      </c>
      <c r="B255" s="443">
        <v>3094</v>
      </c>
      <c r="C255" s="84">
        <v>119</v>
      </c>
      <c r="D255" s="27" t="s">
        <v>22</v>
      </c>
      <c r="E255" s="27" t="s">
        <v>55</v>
      </c>
      <c r="F255" s="28">
        <v>11</v>
      </c>
      <c r="G255" s="74">
        <f t="shared" si="36"/>
        <v>4</v>
      </c>
      <c r="H255" s="28">
        <v>4</v>
      </c>
      <c r="I255" s="28">
        <v>0</v>
      </c>
      <c r="J255" s="19">
        <f t="shared" si="37"/>
        <v>252.22</v>
      </c>
      <c r="K255" s="25">
        <v>252.22</v>
      </c>
      <c r="L255" s="25"/>
      <c r="M255" s="21">
        <v>50266</v>
      </c>
      <c r="N255" s="22">
        <v>46710.19</v>
      </c>
      <c r="O255" s="21">
        <f t="shared" si="38"/>
        <v>3555.8099999999977</v>
      </c>
      <c r="P255" s="23">
        <v>1885</v>
      </c>
      <c r="Q255" s="24" t="s">
        <v>24</v>
      </c>
      <c r="R255" s="201" t="s">
        <v>24</v>
      </c>
      <c r="S255" s="378"/>
      <c r="T255" s="211"/>
      <c r="U255" s="288">
        <v>2710</v>
      </c>
      <c r="V255" s="290">
        <f t="shared" si="39"/>
        <v>683516.2</v>
      </c>
      <c r="W255" s="211"/>
    </row>
    <row r="256" spans="1:23" ht="12.75">
      <c r="A256" s="423">
        <f t="shared" si="34"/>
        <v>108</v>
      </c>
      <c r="B256" s="443">
        <v>3017</v>
      </c>
      <c r="C256" s="84">
        <v>120</v>
      </c>
      <c r="D256" s="27" t="s">
        <v>22</v>
      </c>
      <c r="E256" s="27" t="s">
        <v>27</v>
      </c>
      <c r="F256" s="28">
        <v>10</v>
      </c>
      <c r="G256" s="74">
        <f t="shared" si="36"/>
        <v>7</v>
      </c>
      <c r="H256" s="28">
        <v>7</v>
      </c>
      <c r="I256" s="28">
        <v>0</v>
      </c>
      <c r="J256" s="19">
        <f t="shared" si="37"/>
        <v>319.01</v>
      </c>
      <c r="K256" s="25">
        <v>319.01</v>
      </c>
      <c r="L256" s="25"/>
      <c r="M256" s="21">
        <v>33808.5</v>
      </c>
      <c r="N256" s="22">
        <v>33385.54</v>
      </c>
      <c r="O256" s="21">
        <f t="shared" si="38"/>
        <v>422.9599999999991</v>
      </c>
      <c r="P256" s="23">
        <v>1935</v>
      </c>
      <c r="Q256" s="24" t="s">
        <v>24</v>
      </c>
      <c r="R256" s="24" t="s">
        <v>24</v>
      </c>
      <c r="S256" s="259"/>
      <c r="T256" s="260"/>
      <c r="U256" s="288">
        <v>2710</v>
      </c>
      <c r="V256" s="290">
        <f t="shared" si="39"/>
        <v>864517.1</v>
      </c>
      <c r="W256" s="211"/>
    </row>
    <row r="257" spans="1:23" ht="12.75">
      <c r="A257" s="423">
        <f t="shared" si="34"/>
        <v>109</v>
      </c>
      <c r="B257" s="443">
        <v>1049</v>
      </c>
      <c r="C257" s="84">
        <v>121</v>
      </c>
      <c r="D257" s="27" t="s">
        <v>22</v>
      </c>
      <c r="E257" s="27" t="s">
        <v>119</v>
      </c>
      <c r="F257" s="28">
        <v>5</v>
      </c>
      <c r="G257" s="74">
        <f t="shared" si="36"/>
        <v>4</v>
      </c>
      <c r="H257" s="28">
        <v>4</v>
      </c>
      <c r="I257" s="28">
        <v>0</v>
      </c>
      <c r="J257" s="19">
        <f t="shared" si="37"/>
        <v>193.6</v>
      </c>
      <c r="K257" s="25">
        <v>193.6</v>
      </c>
      <c r="L257" s="25"/>
      <c r="M257" s="21">
        <v>32419.13</v>
      </c>
      <c r="N257" s="22">
        <v>32419.13</v>
      </c>
      <c r="O257" s="21">
        <f t="shared" si="38"/>
        <v>0</v>
      </c>
      <c r="P257" s="23">
        <v>1930</v>
      </c>
      <c r="Q257" s="24" t="s">
        <v>24</v>
      </c>
      <c r="R257" s="24" t="s">
        <v>24</v>
      </c>
      <c r="S257" s="217"/>
      <c r="T257" s="211"/>
      <c r="U257" s="288">
        <v>2710</v>
      </c>
      <c r="V257" s="290">
        <f t="shared" si="39"/>
        <v>524656</v>
      </c>
      <c r="W257" s="211"/>
    </row>
    <row r="258" spans="1:23" ht="12.75">
      <c r="A258" s="423">
        <f t="shared" si="34"/>
        <v>110</v>
      </c>
      <c r="B258" s="443">
        <v>1057</v>
      </c>
      <c r="C258" s="84">
        <v>122</v>
      </c>
      <c r="D258" s="27" t="s">
        <v>22</v>
      </c>
      <c r="E258" s="27" t="s">
        <v>119</v>
      </c>
      <c r="F258" s="28">
        <v>36</v>
      </c>
      <c r="G258" s="74">
        <f t="shared" si="36"/>
        <v>9</v>
      </c>
      <c r="H258" s="28">
        <v>9</v>
      </c>
      <c r="I258" s="28">
        <v>0</v>
      </c>
      <c r="J258" s="19">
        <f t="shared" si="37"/>
        <v>463.91</v>
      </c>
      <c r="K258" s="25">
        <v>463.91</v>
      </c>
      <c r="L258" s="25"/>
      <c r="M258" s="21">
        <v>120912.41</v>
      </c>
      <c r="N258" s="22">
        <v>120912.41</v>
      </c>
      <c r="O258" s="21">
        <f t="shared" si="38"/>
        <v>0</v>
      </c>
      <c r="P258" s="23">
        <v>1928</v>
      </c>
      <c r="Q258" s="24" t="s">
        <v>24</v>
      </c>
      <c r="R258" s="24" t="s">
        <v>24</v>
      </c>
      <c r="S258" s="217"/>
      <c r="T258" s="211"/>
      <c r="U258" s="288">
        <v>2710</v>
      </c>
      <c r="V258" s="290">
        <f t="shared" si="39"/>
        <v>1257196.1</v>
      </c>
      <c r="W258" s="211"/>
    </row>
    <row r="259" spans="1:23" ht="12.75">
      <c r="A259" s="423">
        <f t="shared" si="34"/>
        <v>111</v>
      </c>
      <c r="B259" s="110">
        <v>3137</v>
      </c>
      <c r="C259" s="367">
        <v>123</v>
      </c>
      <c r="D259" s="27" t="s">
        <v>22</v>
      </c>
      <c r="E259" s="27" t="s">
        <v>147</v>
      </c>
      <c r="F259" s="28">
        <v>2</v>
      </c>
      <c r="G259" s="74">
        <f t="shared" si="36"/>
        <v>3</v>
      </c>
      <c r="H259" s="28">
        <v>2</v>
      </c>
      <c r="I259" s="28">
        <v>1</v>
      </c>
      <c r="J259" s="19">
        <f t="shared" si="37"/>
        <v>135.28</v>
      </c>
      <c r="K259" s="25">
        <v>78.83</v>
      </c>
      <c r="L259" s="25">
        <v>56.45</v>
      </c>
      <c r="M259" s="21">
        <v>10180.54</v>
      </c>
      <c r="N259" s="22">
        <v>6256.81</v>
      </c>
      <c r="O259" s="21">
        <f t="shared" si="38"/>
        <v>3923.7300000000005</v>
      </c>
      <c r="P259" s="23">
        <v>1904</v>
      </c>
      <c r="Q259" s="24" t="s">
        <v>24</v>
      </c>
      <c r="R259" s="24" t="s">
        <v>24</v>
      </c>
      <c r="S259" s="217"/>
      <c r="T259" s="211"/>
      <c r="U259" s="288">
        <v>2710</v>
      </c>
      <c r="V259" s="290">
        <f t="shared" si="39"/>
        <v>366608.8</v>
      </c>
      <c r="W259" s="211"/>
    </row>
    <row r="260" spans="1:23" ht="12.75">
      <c r="A260" s="423">
        <f t="shared" si="34"/>
        <v>112</v>
      </c>
      <c r="B260" s="443">
        <v>1087</v>
      </c>
      <c r="C260" s="84">
        <v>124</v>
      </c>
      <c r="D260" s="27" t="s">
        <v>22</v>
      </c>
      <c r="E260" s="27" t="s">
        <v>131</v>
      </c>
      <c r="F260" s="28" t="s">
        <v>39</v>
      </c>
      <c r="G260" s="74">
        <f t="shared" si="36"/>
        <v>12</v>
      </c>
      <c r="H260" s="28">
        <v>12</v>
      </c>
      <c r="I260" s="28">
        <v>0</v>
      </c>
      <c r="J260" s="19">
        <f t="shared" si="37"/>
        <v>716.27</v>
      </c>
      <c r="K260" s="25">
        <v>716.27</v>
      </c>
      <c r="L260" s="25"/>
      <c r="M260" s="21">
        <v>395296.69</v>
      </c>
      <c r="N260" s="22">
        <v>131128.94</v>
      </c>
      <c r="O260" s="21">
        <f t="shared" si="38"/>
        <v>264167.75</v>
      </c>
      <c r="P260" s="23">
        <v>1928</v>
      </c>
      <c r="Q260" s="24" t="s">
        <v>24</v>
      </c>
      <c r="R260" s="24" t="s">
        <v>24</v>
      </c>
      <c r="S260" s="217"/>
      <c r="T260" s="211"/>
      <c r="U260" s="288">
        <v>2710</v>
      </c>
      <c r="V260" s="290">
        <f t="shared" si="39"/>
        <v>1941091.7</v>
      </c>
      <c r="W260" s="211"/>
    </row>
    <row r="261" spans="1:23" ht="12.75">
      <c r="A261" s="423">
        <f t="shared" si="34"/>
        <v>113</v>
      </c>
      <c r="B261" s="443">
        <v>3041</v>
      </c>
      <c r="C261" s="84">
        <v>125</v>
      </c>
      <c r="D261" s="27" t="s">
        <v>22</v>
      </c>
      <c r="E261" s="27" t="s">
        <v>36</v>
      </c>
      <c r="F261" s="28">
        <v>17</v>
      </c>
      <c r="G261" s="74">
        <f t="shared" si="36"/>
        <v>5</v>
      </c>
      <c r="H261" s="28">
        <v>4</v>
      </c>
      <c r="I261" s="28">
        <v>1</v>
      </c>
      <c r="J261" s="19">
        <f t="shared" si="37"/>
        <v>292.24</v>
      </c>
      <c r="K261" s="25">
        <v>206.73</v>
      </c>
      <c r="L261" s="25">
        <v>85.51</v>
      </c>
      <c r="M261" s="21">
        <v>35366.54</v>
      </c>
      <c r="N261" s="22">
        <v>23462.02</v>
      </c>
      <c r="O261" s="21">
        <f t="shared" si="38"/>
        <v>11904.52</v>
      </c>
      <c r="P261" s="23">
        <v>1910</v>
      </c>
      <c r="Q261" s="24" t="s">
        <v>24</v>
      </c>
      <c r="R261" s="24" t="s">
        <v>24</v>
      </c>
      <c r="S261" s="217"/>
      <c r="T261" s="211"/>
      <c r="U261" s="288">
        <v>2710</v>
      </c>
      <c r="V261" s="290">
        <f t="shared" si="39"/>
        <v>791970.4</v>
      </c>
      <c r="W261" s="211"/>
    </row>
    <row r="262" spans="1:23" ht="38.25">
      <c r="A262" s="459">
        <f t="shared" si="34"/>
        <v>114</v>
      </c>
      <c r="B262" s="449">
        <v>3199</v>
      </c>
      <c r="C262" s="386">
        <v>126</v>
      </c>
      <c r="D262" s="387" t="s">
        <v>90</v>
      </c>
      <c r="E262" s="387" t="s">
        <v>91</v>
      </c>
      <c r="F262" s="386">
        <v>16</v>
      </c>
      <c r="G262" s="388">
        <f t="shared" si="36"/>
        <v>3</v>
      </c>
      <c r="H262" s="386">
        <v>3</v>
      </c>
      <c r="I262" s="386">
        <v>0</v>
      </c>
      <c r="J262" s="389">
        <f t="shared" si="37"/>
        <v>126.79</v>
      </c>
      <c r="K262" s="390">
        <v>126.79</v>
      </c>
      <c r="L262" s="390"/>
      <c r="M262" s="391">
        <v>27208.28</v>
      </c>
      <c r="N262" s="391">
        <v>3950.17</v>
      </c>
      <c r="O262" s="391">
        <f t="shared" si="38"/>
        <v>23258.11</v>
      </c>
      <c r="P262" s="392">
        <v>1920</v>
      </c>
      <c r="Q262" s="393" t="s">
        <v>24</v>
      </c>
      <c r="R262" s="393" t="s">
        <v>24</v>
      </c>
      <c r="S262" s="394"/>
      <c r="T262" s="395"/>
      <c r="U262" s="396">
        <v>2710</v>
      </c>
      <c r="V262" s="397">
        <f t="shared" si="39"/>
        <v>343600.9</v>
      </c>
      <c r="W262" s="398" t="s">
        <v>290</v>
      </c>
    </row>
    <row r="263" spans="1:23" ht="12.75">
      <c r="A263" s="423">
        <f t="shared" si="34"/>
        <v>115</v>
      </c>
      <c r="B263" s="443">
        <v>3099</v>
      </c>
      <c r="C263" s="84">
        <v>127</v>
      </c>
      <c r="D263" s="27" t="s">
        <v>22</v>
      </c>
      <c r="E263" s="27" t="s">
        <v>55</v>
      </c>
      <c r="F263" s="28">
        <v>8</v>
      </c>
      <c r="G263" s="74">
        <f t="shared" si="36"/>
        <v>6</v>
      </c>
      <c r="H263" s="28">
        <v>6</v>
      </c>
      <c r="I263" s="28">
        <v>0</v>
      </c>
      <c r="J263" s="19">
        <f t="shared" si="37"/>
        <v>280.46</v>
      </c>
      <c r="K263" s="25">
        <v>280.46</v>
      </c>
      <c r="L263" s="25"/>
      <c r="M263" s="21">
        <v>103477.29</v>
      </c>
      <c r="N263" s="22">
        <v>71019.17</v>
      </c>
      <c r="O263" s="21">
        <f t="shared" si="38"/>
        <v>32458.119999999995</v>
      </c>
      <c r="P263" s="23">
        <v>1890</v>
      </c>
      <c r="Q263" s="24" t="s">
        <v>24</v>
      </c>
      <c r="R263" s="24" t="s">
        <v>24</v>
      </c>
      <c r="S263" s="217"/>
      <c r="T263" s="211"/>
      <c r="U263" s="288">
        <v>2710</v>
      </c>
      <c r="V263" s="290">
        <f t="shared" si="39"/>
        <v>760046.6</v>
      </c>
      <c r="W263" s="211"/>
    </row>
    <row r="264" spans="1:23" ht="12.75">
      <c r="A264" s="423">
        <f t="shared" si="34"/>
        <v>116</v>
      </c>
      <c r="B264" s="443">
        <v>3092</v>
      </c>
      <c r="C264" s="84">
        <v>128</v>
      </c>
      <c r="D264" s="27" t="s">
        <v>22</v>
      </c>
      <c r="E264" s="27" t="s">
        <v>55</v>
      </c>
      <c r="F264" s="28">
        <v>7</v>
      </c>
      <c r="G264" s="74">
        <f t="shared" si="36"/>
        <v>3</v>
      </c>
      <c r="H264" s="28">
        <v>3</v>
      </c>
      <c r="I264" s="28">
        <v>0</v>
      </c>
      <c r="J264" s="19">
        <f t="shared" si="37"/>
        <v>191.21</v>
      </c>
      <c r="K264" s="25">
        <v>191.21</v>
      </c>
      <c r="L264" s="25"/>
      <c r="M264" s="21">
        <v>21232.61</v>
      </c>
      <c r="N264" s="22">
        <v>5666.92</v>
      </c>
      <c r="O264" s="21">
        <f t="shared" si="38"/>
        <v>15565.69</v>
      </c>
      <c r="P264" s="23">
        <v>1890</v>
      </c>
      <c r="Q264" s="24" t="s">
        <v>24</v>
      </c>
      <c r="R264" s="24" t="s">
        <v>24</v>
      </c>
      <c r="S264" s="256"/>
      <c r="T264" s="258"/>
      <c r="U264" s="288">
        <v>2710</v>
      </c>
      <c r="V264" s="290">
        <f t="shared" si="39"/>
        <v>518179.10000000003</v>
      </c>
      <c r="W264" s="211"/>
    </row>
    <row r="265" spans="1:23" ht="12.75">
      <c r="A265" s="423">
        <f t="shared" si="34"/>
        <v>117</v>
      </c>
      <c r="B265" s="443">
        <v>3004</v>
      </c>
      <c r="C265" s="84">
        <v>129</v>
      </c>
      <c r="D265" s="27" t="s">
        <v>22</v>
      </c>
      <c r="E265" s="27" t="s">
        <v>23</v>
      </c>
      <c r="F265" s="28">
        <v>15</v>
      </c>
      <c r="G265" s="28">
        <f>SUM(H265:I265)</f>
        <v>10</v>
      </c>
      <c r="H265" s="28">
        <v>6</v>
      </c>
      <c r="I265" s="28">
        <v>4</v>
      </c>
      <c r="J265" s="19">
        <f t="shared" si="37"/>
        <v>458.54999999999995</v>
      </c>
      <c r="K265" s="25">
        <v>374.78</v>
      </c>
      <c r="L265" s="25">
        <v>83.77</v>
      </c>
      <c r="M265" s="21">
        <v>103937.2</v>
      </c>
      <c r="N265" s="22">
        <v>78268.95</v>
      </c>
      <c r="O265" s="21">
        <f t="shared" si="38"/>
        <v>25668.25</v>
      </c>
      <c r="P265" s="23">
        <v>1912</v>
      </c>
      <c r="Q265" s="24"/>
      <c r="R265" s="201" t="s">
        <v>24</v>
      </c>
      <c r="S265" s="378"/>
      <c r="T265" s="211"/>
      <c r="U265" s="288">
        <v>2710</v>
      </c>
      <c r="V265" s="290">
        <f t="shared" si="39"/>
        <v>1242670.4999999998</v>
      </c>
      <c r="W265" s="211"/>
    </row>
    <row r="266" spans="1:23" ht="12.75">
      <c r="A266" s="423">
        <f t="shared" si="34"/>
        <v>118</v>
      </c>
      <c r="B266" s="443">
        <v>3042</v>
      </c>
      <c r="C266" s="84">
        <v>130</v>
      </c>
      <c r="D266" s="27" t="s">
        <v>22</v>
      </c>
      <c r="E266" s="27" t="s">
        <v>36</v>
      </c>
      <c r="F266" s="28">
        <v>22</v>
      </c>
      <c r="G266" s="74">
        <f aca="true" t="shared" si="40" ref="G266:G291">I266+H266</f>
        <v>3</v>
      </c>
      <c r="H266" s="28">
        <v>2</v>
      </c>
      <c r="I266" s="28">
        <v>1</v>
      </c>
      <c r="J266" s="19">
        <f t="shared" si="37"/>
        <v>180.38</v>
      </c>
      <c r="K266" s="25">
        <v>126.62</v>
      </c>
      <c r="L266" s="25">
        <v>53.76</v>
      </c>
      <c r="M266" s="21">
        <v>55584.87</v>
      </c>
      <c r="N266" s="22">
        <v>52721.31</v>
      </c>
      <c r="O266" s="21">
        <f t="shared" si="38"/>
        <v>2863.560000000005</v>
      </c>
      <c r="P266" s="23">
        <v>1910</v>
      </c>
      <c r="Q266" s="24" t="s">
        <v>24</v>
      </c>
      <c r="R266" s="201" t="s">
        <v>24</v>
      </c>
      <c r="S266" s="378"/>
      <c r="T266" s="211"/>
      <c r="U266" s="288">
        <v>2710</v>
      </c>
      <c r="V266" s="290">
        <f t="shared" si="39"/>
        <v>488829.8</v>
      </c>
      <c r="W266" s="211"/>
    </row>
    <row r="267" spans="1:23" ht="12.75">
      <c r="A267" s="423">
        <f t="shared" si="34"/>
        <v>119</v>
      </c>
      <c r="B267" s="443">
        <v>1111</v>
      </c>
      <c r="C267" s="84">
        <v>131</v>
      </c>
      <c r="D267" s="27" t="s">
        <v>22</v>
      </c>
      <c r="E267" s="27" t="s">
        <v>135</v>
      </c>
      <c r="F267" s="28">
        <v>18</v>
      </c>
      <c r="G267" s="74">
        <f t="shared" si="40"/>
        <v>16</v>
      </c>
      <c r="H267" s="28">
        <v>16</v>
      </c>
      <c r="I267" s="28">
        <v>0</v>
      </c>
      <c r="J267" s="19">
        <f t="shared" si="37"/>
        <v>909.92</v>
      </c>
      <c r="K267" s="25">
        <v>909.92</v>
      </c>
      <c r="L267" s="25"/>
      <c r="M267" s="37">
        <v>382470.43</v>
      </c>
      <c r="N267" s="38">
        <v>84346.25</v>
      </c>
      <c r="O267" s="37">
        <f t="shared" si="38"/>
        <v>298124.18</v>
      </c>
      <c r="P267" s="39">
        <v>1992</v>
      </c>
      <c r="Q267" s="40"/>
      <c r="R267" s="40"/>
      <c r="S267" s="267"/>
      <c r="T267" s="381"/>
      <c r="U267" s="288">
        <v>2710</v>
      </c>
      <c r="V267" s="290">
        <f t="shared" si="39"/>
        <v>2465883.1999999997</v>
      </c>
      <c r="W267" s="211"/>
    </row>
    <row r="268" spans="1:23" ht="12.75">
      <c r="A268" s="423">
        <f t="shared" si="34"/>
        <v>120</v>
      </c>
      <c r="B268" s="443">
        <v>1094</v>
      </c>
      <c r="C268" s="84">
        <v>132</v>
      </c>
      <c r="D268" s="27" t="s">
        <v>22</v>
      </c>
      <c r="E268" s="27" t="s">
        <v>128</v>
      </c>
      <c r="F268" s="28" t="s">
        <v>130</v>
      </c>
      <c r="G268" s="74">
        <f t="shared" si="40"/>
        <v>10</v>
      </c>
      <c r="H268" s="28">
        <v>10</v>
      </c>
      <c r="I268" s="28">
        <v>0</v>
      </c>
      <c r="J268" s="19">
        <f t="shared" si="37"/>
        <v>608.29</v>
      </c>
      <c r="K268" s="25">
        <v>608.29</v>
      </c>
      <c r="L268" s="25"/>
      <c r="M268" s="21">
        <v>78333.11</v>
      </c>
      <c r="N268" s="22">
        <v>61244.87</v>
      </c>
      <c r="O268" s="21">
        <f t="shared" si="38"/>
        <v>17088.239999999998</v>
      </c>
      <c r="P268" s="23">
        <v>1935</v>
      </c>
      <c r="Q268" s="24" t="s">
        <v>24</v>
      </c>
      <c r="R268" s="24" t="s">
        <v>24</v>
      </c>
      <c r="S268" s="217"/>
      <c r="T268" s="211"/>
      <c r="U268" s="288">
        <v>2710</v>
      </c>
      <c r="V268" s="290">
        <f t="shared" si="39"/>
        <v>1648465.9</v>
      </c>
      <c r="W268" s="211"/>
    </row>
    <row r="269" spans="1:23" ht="12.75">
      <c r="A269" s="423">
        <f t="shared" si="34"/>
        <v>121</v>
      </c>
      <c r="B269" s="110">
        <v>3138</v>
      </c>
      <c r="C269" s="367">
        <v>134</v>
      </c>
      <c r="D269" s="27" t="s">
        <v>22</v>
      </c>
      <c r="E269" s="27" t="s">
        <v>147</v>
      </c>
      <c r="F269" s="28">
        <v>4</v>
      </c>
      <c r="G269" s="74">
        <f t="shared" si="40"/>
        <v>5</v>
      </c>
      <c r="H269" s="28">
        <v>5</v>
      </c>
      <c r="I269" s="28">
        <v>0</v>
      </c>
      <c r="J269" s="19">
        <f t="shared" si="37"/>
        <v>291.14</v>
      </c>
      <c r="K269" s="25">
        <v>291.14</v>
      </c>
      <c r="L269" s="25"/>
      <c r="M269" s="21">
        <v>23397.79</v>
      </c>
      <c r="N269" s="22">
        <v>5909.22</v>
      </c>
      <c r="O269" s="21">
        <f t="shared" si="38"/>
        <v>17488.57</v>
      </c>
      <c r="P269" s="23">
        <v>1925</v>
      </c>
      <c r="Q269" s="24" t="s">
        <v>24</v>
      </c>
      <c r="R269" s="24" t="s">
        <v>24</v>
      </c>
      <c r="S269" s="217"/>
      <c r="T269" s="211"/>
      <c r="U269" s="288">
        <v>2710</v>
      </c>
      <c r="V269" s="290">
        <f t="shared" si="39"/>
        <v>788989.3999999999</v>
      </c>
      <c r="W269" s="211"/>
    </row>
    <row r="270" spans="1:23" ht="12.75">
      <c r="A270" s="423">
        <f t="shared" si="34"/>
        <v>122</v>
      </c>
      <c r="B270" s="110">
        <v>3187</v>
      </c>
      <c r="C270" s="367">
        <v>135</v>
      </c>
      <c r="D270" s="27" t="s">
        <v>78</v>
      </c>
      <c r="E270" s="27" t="s">
        <v>160</v>
      </c>
      <c r="F270" s="28">
        <v>16</v>
      </c>
      <c r="G270" s="74">
        <f t="shared" si="40"/>
        <v>6</v>
      </c>
      <c r="H270" s="28">
        <v>6</v>
      </c>
      <c r="I270" s="28">
        <v>0</v>
      </c>
      <c r="J270" s="19">
        <f t="shared" si="37"/>
        <v>377.09</v>
      </c>
      <c r="K270" s="25">
        <v>377.09</v>
      </c>
      <c r="L270" s="25"/>
      <c r="M270" s="21">
        <v>31429.52</v>
      </c>
      <c r="N270" s="22">
        <v>17031.15</v>
      </c>
      <c r="O270" s="21">
        <f t="shared" si="38"/>
        <v>14398.369999999999</v>
      </c>
      <c r="P270" s="23">
        <v>1920</v>
      </c>
      <c r="Q270" s="24" t="s">
        <v>24</v>
      </c>
      <c r="R270" s="24" t="s">
        <v>24</v>
      </c>
      <c r="S270" s="218" t="s">
        <v>250</v>
      </c>
      <c r="T270" s="211" t="s">
        <v>259</v>
      </c>
      <c r="U270" s="288">
        <v>2710</v>
      </c>
      <c r="V270" s="290">
        <f t="shared" si="39"/>
        <v>1021913.8999999999</v>
      </c>
      <c r="W270" s="211"/>
    </row>
    <row r="271" spans="1:23" ht="12.75">
      <c r="A271" s="423">
        <f t="shared" si="34"/>
        <v>123</v>
      </c>
      <c r="B271" s="443">
        <v>3084</v>
      </c>
      <c r="C271" s="84">
        <v>136</v>
      </c>
      <c r="D271" s="27" t="s">
        <v>22</v>
      </c>
      <c r="E271" s="27" t="s">
        <v>45</v>
      </c>
      <c r="F271" s="28">
        <v>22</v>
      </c>
      <c r="G271" s="74">
        <f t="shared" si="40"/>
        <v>5</v>
      </c>
      <c r="H271" s="28">
        <v>5</v>
      </c>
      <c r="I271" s="28">
        <v>0</v>
      </c>
      <c r="J271" s="19">
        <f t="shared" si="37"/>
        <v>276.89</v>
      </c>
      <c r="K271" s="25">
        <v>276.89</v>
      </c>
      <c r="L271" s="25"/>
      <c r="M271" s="21">
        <v>78718.91</v>
      </c>
      <c r="N271" s="22">
        <v>78718.91</v>
      </c>
      <c r="O271" s="21">
        <f t="shared" si="38"/>
        <v>0</v>
      </c>
      <c r="P271" s="23">
        <v>1925</v>
      </c>
      <c r="Q271" s="24" t="s">
        <v>24</v>
      </c>
      <c r="R271" s="24" t="s">
        <v>24</v>
      </c>
      <c r="S271" s="217"/>
      <c r="T271" s="211"/>
      <c r="U271" s="288">
        <v>2710</v>
      </c>
      <c r="V271" s="290">
        <f t="shared" si="39"/>
        <v>750371.8999999999</v>
      </c>
      <c r="W271" s="211"/>
    </row>
    <row r="272" spans="1:23" ht="12.75">
      <c r="A272" s="423">
        <f t="shared" si="34"/>
        <v>124</v>
      </c>
      <c r="B272" s="110">
        <v>3114</v>
      </c>
      <c r="C272" s="367">
        <v>137</v>
      </c>
      <c r="D272" s="27" t="s">
        <v>66</v>
      </c>
      <c r="E272" s="27" t="s">
        <v>71</v>
      </c>
      <c r="F272" s="28">
        <v>9</v>
      </c>
      <c r="G272" s="74">
        <f t="shared" si="40"/>
        <v>4</v>
      </c>
      <c r="H272" s="28">
        <v>4</v>
      </c>
      <c r="I272" s="28">
        <v>0</v>
      </c>
      <c r="J272" s="19">
        <f t="shared" si="37"/>
        <v>139.62</v>
      </c>
      <c r="K272" s="25">
        <v>139.62</v>
      </c>
      <c r="L272" s="25"/>
      <c r="M272" s="21">
        <v>31561.71</v>
      </c>
      <c r="N272" s="22">
        <v>13738.97</v>
      </c>
      <c r="O272" s="21">
        <f t="shared" si="38"/>
        <v>17822.739999999998</v>
      </c>
      <c r="P272" s="23">
        <v>1935</v>
      </c>
      <c r="Q272" s="24" t="s">
        <v>24</v>
      </c>
      <c r="R272" s="24" t="s">
        <v>24</v>
      </c>
      <c r="S272" s="256"/>
      <c r="T272" s="258"/>
      <c r="U272" s="288">
        <v>2710</v>
      </c>
      <c r="V272" s="290">
        <f t="shared" si="39"/>
        <v>378370.2</v>
      </c>
      <c r="W272" s="211"/>
    </row>
    <row r="273" spans="1:23" ht="38.25">
      <c r="A273" s="459">
        <f t="shared" si="34"/>
        <v>125</v>
      </c>
      <c r="B273" s="450">
        <v>2002</v>
      </c>
      <c r="C273" s="385">
        <v>139</v>
      </c>
      <c r="D273" s="387" t="s">
        <v>22</v>
      </c>
      <c r="E273" s="387" t="s">
        <v>55</v>
      </c>
      <c r="F273" s="386">
        <v>12</v>
      </c>
      <c r="G273" s="388">
        <f t="shared" si="40"/>
        <v>5</v>
      </c>
      <c r="H273" s="386">
        <v>5</v>
      </c>
      <c r="I273" s="386">
        <v>0</v>
      </c>
      <c r="J273" s="389">
        <f t="shared" si="37"/>
        <v>217.98</v>
      </c>
      <c r="K273" s="390">
        <v>217.98</v>
      </c>
      <c r="L273" s="390"/>
      <c r="M273" s="391">
        <v>83874.11</v>
      </c>
      <c r="N273" s="391">
        <v>60634.36</v>
      </c>
      <c r="O273" s="391">
        <f t="shared" si="38"/>
        <v>23239.75</v>
      </c>
      <c r="P273" s="392">
        <v>1905</v>
      </c>
      <c r="Q273" s="393" t="s">
        <v>24</v>
      </c>
      <c r="R273" s="399" t="s">
        <v>24</v>
      </c>
      <c r="S273" s="400"/>
      <c r="T273" s="395"/>
      <c r="U273" s="396">
        <v>2710</v>
      </c>
      <c r="V273" s="397">
        <f t="shared" si="39"/>
        <v>590725.7999999999</v>
      </c>
      <c r="W273" s="398" t="s">
        <v>289</v>
      </c>
    </row>
    <row r="274" spans="1:23" ht="12.75">
      <c r="A274" s="423">
        <f t="shared" si="34"/>
        <v>126</v>
      </c>
      <c r="B274" s="443">
        <v>1075</v>
      </c>
      <c r="C274" s="84">
        <v>144</v>
      </c>
      <c r="D274" s="27" t="s">
        <v>22</v>
      </c>
      <c r="E274" s="27" t="s">
        <v>53</v>
      </c>
      <c r="F274" s="269" t="s">
        <v>124</v>
      </c>
      <c r="G274" s="74">
        <f t="shared" si="40"/>
        <v>14</v>
      </c>
      <c r="H274" s="269">
        <v>14</v>
      </c>
      <c r="I274" s="269">
        <v>0</v>
      </c>
      <c r="J274" s="173">
        <f t="shared" si="37"/>
        <v>996.3399999999999</v>
      </c>
      <c r="K274" s="25">
        <f>990.04+6.3</f>
        <v>996.3399999999999</v>
      </c>
      <c r="L274" s="25"/>
      <c r="M274" s="38">
        <v>233966.26</v>
      </c>
      <c r="N274" s="270"/>
      <c r="O274" s="37">
        <f t="shared" si="38"/>
        <v>233966.26</v>
      </c>
      <c r="P274" s="39">
        <v>1935</v>
      </c>
      <c r="Q274" s="40" t="s">
        <v>24</v>
      </c>
      <c r="R274" s="40" t="s">
        <v>24</v>
      </c>
      <c r="S274" s="267"/>
      <c r="T274" s="381"/>
      <c r="U274" s="288">
        <v>2710</v>
      </c>
      <c r="V274" s="290">
        <f t="shared" si="39"/>
        <v>2700081.4</v>
      </c>
      <c r="W274" s="211"/>
    </row>
    <row r="275" spans="1:23" ht="12.75">
      <c r="A275" s="423">
        <f t="shared" si="34"/>
        <v>127</v>
      </c>
      <c r="B275" s="443">
        <v>1070</v>
      </c>
      <c r="C275" s="84">
        <v>145</v>
      </c>
      <c r="D275" s="27" t="s">
        <v>22</v>
      </c>
      <c r="E275" s="27" t="s">
        <v>53</v>
      </c>
      <c r="F275" s="28">
        <v>9</v>
      </c>
      <c r="G275" s="74">
        <f t="shared" si="40"/>
        <v>5</v>
      </c>
      <c r="H275" s="28">
        <v>5</v>
      </c>
      <c r="I275" s="28">
        <v>0</v>
      </c>
      <c r="J275" s="19">
        <f t="shared" si="37"/>
        <v>318.38</v>
      </c>
      <c r="K275" s="25">
        <v>318.38</v>
      </c>
      <c r="L275" s="25"/>
      <c r="M275" s="21">
        <v>77958.24</v>
      </c>
      <c r="N275" s="22">
        <v>45597.63</v>
      </c>
      <c r="O275" s="21">
        <f t="shared" si="38"/>
        <v>32360.610000000008</v>
      </c>
      <c r="P275" s="23">
        <v>1935</v>
      </c>
      <c r="Q275" s="24" t="s">
        <v>24</v>
      </c>
      <c r="R275" s="24" t="s">
        <v>24</v>
      </c>
      <c r="S275" s="217"/>
      <c r="T275" s="211"/>
      <c r="U275" s="288">
        <v>2710</v>
      </c>
      <c r="V275" s="290">
        <f t="shared" si="39"/>
        <v>862809.7999999999</v>
      </c>
      <c r="W275" s="211"/>
    </row>
    <row r="276" spans="1:23" ht="12.75">
      <c r="A276" s="423">
        <f t="shared" si="34"/>
        <v>128</v>
      </c>
      <c r="B276" s="110">
        <v>3167</v>
      </c>
      <c r="C276" s="367">
        <v>146</v>
      </c>
      <c r="D276" s="27" t="s">
        <v>78</v>
      </c>
      <c r="E276" s="27" t="s">
        <v>156</v>
      </c>
      <c r="F276" s="28" t="s">
        <v>157</v>
      </c>
      <c r="G276" s="74">
        <f t="shared" si="40"/>
        <v>4</v>
      </c>
      <c r="H276" s="28">
        <v>4</v>
      </c>
      <c r="I276" s="28">
        <v>0</v>
      </c>
      <c r="J276" s="19">
        <f t="shared" si="37"/>
        <v>181.72</v>
      </c>
      <c r="K276" s="25">
        <v>181.72</v>
      </c>
      <c r="L276" s="25"/>
      <c r="M276" s="21">
        <v>80504.99</v>
      </c>
      <c r="N276" s="22">
        <v>31087.42</v>
      </c>
      <c r="O276" s="21">
        <f t="shared" si="38"/>
        <v>49417.57000000001</v>
      </c>
      <c r="P276" s="23">
        <v>1976</v>
      </c>
      <c r="Q276" s="24"/>
      <c r="R276" s="24"/>
      <c r="S276" s="218" t="s">
        <v>250</v>
      </c>
      <c r="T276" s="211" t="s">
        <v>259</v>
      </c>
      <c r="U276" s="288">
        <v>2710</v>
      </c>
      <c r="V276" s="290">
        <f t="shared" si="39"/>
        <v>492461.2</v>
      </c>
      <c r="W276" s="211"/>
    </row>
    <row r="277" spans="1:23" ht="12.75">
      <c r="A277" s="423">
        <f t="shared" si="34"/>
        <v>129</v>
      </c>
      <c r="B277" s="110">
        <v>3108</v>
      </c>
      <c r="C277" s="367">
        <v>147</v>
      </c>
      <c r="D277" s="27" t="s">
        <v>66</v>
      </c>
      <c r="E277" s="27" t="s">
        <v>74</v>
      </c>
      <c r="F277" s="28">
        <v>14</v>
      </c>
      <c r="G277" s="74">
        <f t="shared" si="40"/>
        <v>6</v>
      </c>
      <c r="H277" s="28">
        <v>6</v>
      </c>
      <c r="I277" s="28">
        <v>0</v>
      </c>
      <c r="J277" s="19">
        <f aca="true" t="shared" si="41" ref="J277:J308">SUM(K277:L277)</f>
        <v>289.37</v>
      </c>
      <c r="K277" s="25">
        <v>289.37</v>
      </c>
      <c r="L277" s="25"/>
      <c r="M277" s="21">
        <v>72199.26</v>
      </c>
      <c r="N277" s="22">
        <v>38772.81</v>
      </c>
      <c r="O277" s="21">
        <f aca="true" t="shared" si="42" ref="O277:O308">M277-N277</f>
        <v>33426.45</v>
      </c>
      <c r="P277" s="23">
        <v>1911</v>
      </c>
      <c r="Q277" s="24" t="s">
        <v>24</v>
      </c>
      <c r="R277" s="24" t="s">
        <v>24</v>
      </c>
      <c r="S277" s="217"/>
      <c r="T277" s="211"/>
      <c r="U277" s="288">
        <v>2710</v>
      </c>
      <c r="V277" s="290">
        <f t="shared" si="39"/>
        <v>784192.7000000001</v>
      </c>
      <c r="W277" s="211"/>
    </row>
    <row r="278" spans="1:23" ht="12.75">
      <c r="A278" s="423">
        <f t="shared" si="34"/>
        <v>130</v>
      </c>
      <c r="B278" s="443">
        <v>1066</v>
      </c>
      <c r="C278" s="84">
        <v>148</v>
      </c>
      <c r="D278" s="27" t="s">
        <v>22</v>
      </c>
      <c r="E278" s="27" t="s">
        <v>140</v>
      </c>
      <c r="F278" s="28">
        <v>6</v>
      </c>
      <c r="G278" s="74">
        <f t="shared" si="40"/>
        <v>18</v>
      </c>
      <c r="H278" s="28">
        <v>18</v>
      </c>
      <c r="I278" s="28">
        <v>0</v>
      </c>
      <c r="J278" s="19">
        <f t="shared" si="41"/>
        <v>733.81</v>
      </c>
      <c r="K278" s="25">
        <v>733.81</v>
      </c>
      <c r="L278" s="25"/>
      <c r="M278" s="21">
        <v>190222.76</v>
      </c>
      <c r="N278" s="22">
        <v>105343.32</v>
      </c>
      <c r="O278" s="21">
        <f t="shared" si="42"/>
        <v>84879.44</v>
      </c>
      <c r="P278" s="23">
        <v>1961</v>
      </c>
      <c r="Q278" s="24"/>
      <c r="R278" s="24"/>
      <c r="S278" s="217"/>
      <c r="T278" s="211"/>
      <c r="U278" s="288">
        <v>2710</v>
      </c>
      <c r="V278" s="290">
        <f t="shared" si="39"/>
        <v>1988625.0999999999</v>
      </c>
      <c r="W278" s="211"/>
    </row>
    <row r="279" spans="1:23" ht="12.75">
      <c r="A279" s="423">
        <f aca="true" t="shared" si="43" ref="A279:A317">A278+1</f>
        <v>131</v>
      </c>
      <c r="B279" s="443">
        <v>3202</v>
      </c>
      <c r="C279" s="84">
        <v>149</v>
      </c>
      <c r="D279" s="27" t="s">
        <v>22</v>
      </c>
      <c r="E279" s="27" t="s">
        <v>116</v>
      </c>
      <c r="F279" s="28">
        <v>25</v>
      </c>
      <c r="G279" s="74">
        <f t="shared" si="40"/>
        <v>5</v>
      </c>
      <c r="H279" s="28">
        <v>4</v>
      </c>
      <c r="I279" s="28">
        <v>1</v>
      </c>
      <c r="J279" s="19">
        <f t="shared" si="41"/>
        <v>297.58</v>
      </c>
      <c r="K279" s="25">
        <v>269.01</v>
      </c>
      <c r="L279" s="25">
        <v>28.57</v>
      </c>
      <c r="M279" s="21">
        <v>1609.32</v>
      </c>
      <c r="N279" s="22">
        <v>1323.57</v>
      </c>
      <c r="O279" s="21">
        <f t="shared" si="42"/>
        <v>285.75</v>
      </c>
      <c r="P279" s="23">
        <v>1928</v>
      </c>
      <c r="Q279" s="24" t="s">
        <v>24</v>
      </c>
      <c r="R279" s="24" t="s">
        <v>24</v>
      </c>
      <c r="S279" s="217"/>
      <c r="T279" s="211"/>
      <c r="U279" s="288">
        <v>2710</v>
      </c>
      <c r="V279" s="290">
        <f t="shared" si="39"/>
        <v>806441.7999999999</v>
      </c>
      <c r="W279" s="211"/>
    </row>
    <row r="280" spans="1:23" ht="12.75">
      <c r="A280" s="423">
        <f t="shared" si="43"/>
        <v>132</v>
      </c>
      <c r="B280" s="110">
        <v>1103</v>
      </c>
      <c r="C280" s="367">
        <v>150</v>
      </c>
      <c r="D280" s="27" t="s">
        <v>22</v>
      </c>
      <c r="E280" s="27" t="s">
        <v>64</v>
      </c>
      <c r="F280" s="28" t="s">
        <v>105</v>
      </c>
      <c r="G280" s="74">
        <f t="shared" si="40"/>
        <v>52</v>
      </c>
      <c r="H280" s="28">
        <v>52</v>
      </c>
      <c r="I280" s="28">
        <v>0</v>
      </c>
      <c r="J280" s="19">
        <f t="shared" si="41"/>
        <v>2085.16</v>
      </c>
      <c r="K280" s="25">
        <v>2085.16</v>
      </c>
      <c r="L280" s="25"/>
      <c r="M280" s="21">
        <v>575629.77</v>
      </c>
      <c r="N280" s="22">
        <v>271253.34</v>
      </c>
      <c r="O280" s="21">
        <f t="shared" si="42"/>
        <v>304376.43</v>
      </c>
      <c r="P280" s="23">
        <v>1966</v>
      </c>
      <c r="Q280" s="24"/>
      <c r="R280" s="24"/>
      <c r="S280" s="218" t="s">
        <v>250</v>
      </c>
      <c r="T280" s="215" t="s">
        <v>255</v>
      </c>
      <c r="U280" s="288">
        <v>2710</v>
      </c>
      <c r="V280" s="290">
        <f t="shared" si="39"/>
        <v>5650783.6</v>
      </c>
      <c r="W280" s="211"/>
    </row>
    <row r="281" spans="1:23" ht="12.75">
      <c r="A281" s="423">
        <f t="shared" si="43"/>
        <v>133</v>
      </c>
      <c r="B281" s="110">
        <v>3175</v>
      </c>
      <c r="C281" s="367">
        <v>151</v>
      </c>
      <c r="D281" s="27" t="s">
        <v>78</v>
      </c>
      <c r="E281" s="27" t="s">
        <v>70</v>
      </c>
      <c r="F281" s="28">
        <v>5</v>
      </c>
      <c r="G281" s="74">
        <f t="shared" si="40"/>
        <v>2</v>
      </c>
      <c r="H281" s="28">
        <v>2</v>
      </c>
      <c r="I281" s="28">
        <v>0</v>
      </c>
      <c r="J281" s="19">
        <f t="shared" si="41"/>
        <v>140.04</v>
      </c>
      <c r="K281" s="25">
        <v>140.04</v>
      </c>
      <c r="L281" s="25"/>
      <c r="M281" s="21">
        <v>12413.64</v>
      </c>
      <c r="N281" s="22">
        <v>7556.84</v>
      </c>
      <c r="O281" s="21">
        <f t="shared" si="42"/>
        <v>4856.799999999999</v>
      </c>
      <c r="P281" s="23">
        <v>1897</v>
      </c>
      <c r="Q281" s="24" t="s">
        <v>24</v>
      </c>
      <c r="R281" s="24" t="s">
        <v>24</v>
      </c>
      <c r="S281" s="217"/>
      <c r="T281" s="211"/>
      <c r="U281" s="288">
        <v>2710</v>
      </c>
      <c r="V281" s="290">
        <f t="shared" si="39"/>
        <v>379508.39999999997</v>
      </c>
      <c r="W281" s="211"/>
    </row>
    <row r="282" spans="1:23" ht="12.75">
      <c r="A282" s="423">
        <f t="shared" si="43"/>
        <v>134</v>
      </c>
      <c r="B282" s="110">
        <v>1117</v>
      </c>
      <c r="C282" s="367">
        <v>152</v>
      </c>
      <c r="D282" s="27" t="s">
        <v>22</v>
      </c>
      <c r="E282" s="27" t="s">
        <v>148</v>
      </c>
      <c r="F282" s="28" t="s">
        <v>149</v>
      </c>
      <c r="G282" s="74">
        <f t="shared" si="40"/>
        <v>42</v>
      </c>
      <c r="H282" s="28">
        <v>41</v>
      </c>
      <c r="I282" s="28">
        <v>1</v>
      </c>
      <c r="J282" s="19">
        <f t="shared" si="41"/>
        <v>2187.85</v>
      </c>
      <c r="K282" s="25">
        <v>2118.45</v>
      </c>
      <c r="L282" s="25">
        <v>69.4</v>
      </c>
      <c r="M282" s="21">
        <v>4096851.65</v>
      </c>
      <c r="N282" s="22">
        <v>425048.29</v>
      </c>
      <c r="O282" s="21">
        <f t="shared" si="42"/>
        <v>3671803.36</v>
      </c>
      <c r="P282" s="23">
        <v>1999</v>
      </c>
      <c r="Q282" s="24"/>
      <c r="R282" s="24" t="s">
        <v>24</v>
      </c>
      <c r="S282" s="217"/>
      <c r="T282" s="211"/>
      <c r="U282" s="288">
        <v>2710</v>
      </c>
      <c r="V282" s="290">
        <f t="shared" si="39"/>
        <v>5929073.5</v>
      </c>
      <c r="W282" s="211"/>
    </row>
    <row r="283" spans="1:23" ht="12.75">
      <c r="A283" s="423">
        <f t="shared" si="43"/>
        <v>135</v>
      </c>
      <c r="B283" s="443">
        <v>3038</v>
      </c>
      <c r="C283" s="84">
        <v>153</v>
      </c>
      <c r="D283" s="27" t="s">
        <v>22</v>
      </c>
      <c r="E283" s="27" t="s">
        <v>36</v>
      </c>
      <c r="F283" s="28">
        <v>11</v>
      </c>
      <c r="G283" s="74">
        <f t="shared" si="40"/>
        <v>9</v>
      </c>
      <c r="H283" s="28">
        <v>7</v>
      </c>
      <c r="I283" s="28">
        <v>2</v>
      </c>
      <c r="J283" s="19">
        <f t="shared" si="41"/>
        <v>739.26</v>
      </c>
      <c r="K283" s="25">
        <v>534.53</v>
      </c>
      <c r="L283" s="25">
        <v>204.73</v>
      </c>
      <c r="M283" s="21">
        <v>40065.19</v>
      </c>
      <c r="N283" s="22">
        <v>40065.19</v>
      </c>
      <c r="O283" s="21">
        <f t="shared" si="42"/>
        <v>0</v>
      </c>
      <c r="P283" s="23">
        <v>192</v>
      </c>
      <c r="Q283" s="24" t="s">
        <v>24</v>
      </c>
      <c r="R283" s="24" t="s">
        <v>24</v>
      </c>
      <c r="S283" s="240">
        <v>1980</v>
      </c>
      <c r="T283" s="258"/>
      <c r="U283" s="288">
        <v>2710</v>
      </c>
      <c r="V283" s="290">
        <f t="shared" si="39"/>
        <v>2003394.5999999999</v>
      </c>
      <c r="W283" s="211"/>
    </row>
    <row r="284" spans="1:23" ht="12.75">
      <c r="A284" s="423">
        <f t="shared" si="43"/>
        <v>136</v>
      </c>
      <c r="B284" s="443">
        <v>1079</v>
      </c>
      <c r="C284" s="84">
        <v>154</v>
      </c>
      <c r="D284" s="27" t="s">
        <v>22</v>
      </c>
      <c r="E284" s="27" t="s">
        <v>53</v>
      </c>
      <c r="F284" s="269">
        <v>16</v>
      </c>
      <c r="G284" s="74">
        <f t="shared" si="40"/>
        <v>5</v>
      </c>
      <c r="H284" s="269">
        <v>5</v>
      </c>
      <c r="I284" s="269">
        <v>0</v>
      </c>
      <c r="J284" s="173">
        <f t="shared" si="41"/>
        <v>312.78</v>
      </c>
      <c r="K284" s="25">
        <v>312.78</v>
      </c>
      <c r="L284" s="25"/>
      <c r="M284" s="38">
        <v>28107.77</v>
      </c>
      <c r="N284" s="38"/>
      <c r="O284" s="37">
        <f t="shared" si="42"/>
        <v>28107.77</v>
      </c>
      <c r="P284" s="39">
        <v>1935</v>
      </c>
      <c r="Q284" s="40" t="s">
        <v>24</v>
      </c>
      <c r="R284" s="205" t="s">
        <v>24</v>
      </c>
      <c r="S284" s="272"/>
      <c r="T284" s="212"/>
      <c r="U284" s="288">
        <v>2710</v>
      </c>
      <c r="V284" s="290">
        <f t="shared" si="39"/>
        <v>847633.7999999999</v>
      </c>
      <c r="W284" s="211"/>
    </row>
    <row r="285" spans="1:23" ht="12.75">
      <c r="A285" s="423">
        <f t="shared" si="43"/>
        <v>137</v>
      </c>
      <c r="B285" s="110">
        <v>3201</v>
      </c>
      <c r="C285" s="367">
        <v>155</v>
      </c>
      <c r="D285" s="27" t="s">
        <v>22</v>
      </c>
      <c r="E285" s="27" t="s">
        <v>63</v>
      </c>
      <c r="F285" s="28">
        <v>2</v>
      </c>
      <c r="G285" s="74">
        <f t="shared" si="40"/>
        <v>5</v>
      </c>
      <c r="H285" s="28">
        <v>5</v>
      </c>
      <c r="I285" s="28">
        <v>0</v>
      </c>
      <c r="J285" s="19">
        <f t="shared" si="41"/>
        <v>207.54</v>
      </c>
      <c r="K285" s="25">
        <v>207.54</v>
      </c>
      <c r="L285" s="25"/>
      <c r="M285" s="37">
        <v>161481.93</v>
      </c>
      <c r="N285" s="38">
        <v>58784.05</v>
      </c>
      <c r="O285" s="37">
        <f t="shared" si="42"/>
        <v>102697.87999999999</v>
      </c>
      <c r="P285" s="39">
        <v>1910</v>
      </c>
      <c r="Q285" s="40" t="s">
        <v>24</v>
      </c>
      <c r="R285" s="40" t="s">
        <v>24</v>
      </c>
      <c r="S285" s="267"/>
      <c r="T285" s="260"/>
      <c r="U285" s="288">
        <v>2710</v>
      </c>
      <c r="V285" s="290">
        <f t="shared" si="39"/>
        <v>562433.4</v>
      </c>
      <c r="W285" s="211"/>
    </row>
    <row r="286" spans="1:23" ht="12.75">
      <c r="A286" s="423">
        <f t="shared" si="43"/>
        <v>138</v>
      </c>
      <c r="B286" s="110">
        <v>3173</v>
      </c>
      <c r="C286" s="367">
        <v>158</v>
      </c>
      <c r="D286" s="27" t="s">
        <v>78</v>
      </c>
      <c r="E286" s="27" t="s">
        <v>158</v>
      </c>
      <c r="F286" s="28">
        <v>4</v>
      </c>
      <c r="G286" s="74">
        <f t="shared" si="40"/>
        <v>4</v>
      </c>
      <c r="H286" s="28">
        <v>4</v>
      </c>
      <c r="I286" s="28">
        <v>0</v>
      </c>
      <c r="J286" s="19">
        <f t="shared" si="41"/>
        <v>217.21</v>
      </c>
      <c r="K286" s="25">
        <v>217.21</v>
      </c>
      <c r="L286" s="25"/>
      <c r="M286" s="21">
        <v>26128.02</v>
      </c>
      <c r="N286" s="22">
        <v>15823.5</v>
      </c>
      <c r="O286" s="21">
        <f t="shared" si="42"/>
        <v>10304.52</v>
      </c>
      <c r="P286" s="23">
        <v>1920</v>
      </c>
      <c r="Q286" s="24" t="s">
        <v>24</v>
      </c>
      <c r="R286" s="24" t="s">
        <v>24</v>
      </c>
      <c r="S286" s="217"/>
      <c r="T286" s="211"/>
      <c r="U286" s="288">
        <v>2710</v>
      </c>
      <c r="V286" s="290">
        <f t="shared" si="39"/>
        <v>588639.1</v>
      </c>
      <c r="W286" s="211"/>
    </row>
    <row r="287" spans="1:23" ht="12.75">
      <c r="A287" s="423">
        <f t="shared" si="43"/>
        <v>139</v>
      </c>
      <c r="B287" s="110">
        <v>3183</v>
      </c>
      <c r="C287" s="367">
        <v>159</v>
      </c>
      <c r="D287" s="27" t="s">
        <v>78</v>
      </c>
      <c r="E287" s="27" t="s">
        <v>75</v>
      </c>
      <c r="F287" s="28">
        <v>4</v>
      </c>
      <c r="G287" s="74">
        <f t="shared" si="40"/>
        <v>5</v>
      </c>
      <c r="H287" s="28">
        <v>5</v>
      </c>
      <c r="I287" s="28">
        <v>0</v>
      </c>
      <c r="J287" s="19">
        <f t="shared" si="41"/>
        <v>219.04</v>
      </c>
      <c r="K287" s="25">
        <v>219.04</v>
      </c>
      <c r="L287" s="25"/>
      <c r="M287" s="21">
        <v>37643.51</v>
      </c>
      <c r="N287" s="22">
        <v>22993.37</v>
      </c>
      <c r="O287" s="21">
        <f t="shared" si="42"/>
        <v>14650.140000000003</v>
      </c>
      <c r="P287" s="23">
        <v>1920</v>
      </c>
      <c r="Q287" s="24" t="s">
        <v>24</v>
      </c>
      <c r="R287" s="24" t="s">
        <v>24</v>
      </c>
      <c r="S287" s="217"/>
      <c r="T287" s="211"/>
      <c r="U287" s="288">
        <v>2710</v>
      </c>
      <c r="V287" s="290">
        <f t="shared" si="39"/>
        <v>593598.4</v>
      </c>
      <c r="W287" s="211"/>
    </row>
    <row r="288" spans="1:23" ht="12.75">
      <c r="A288" s="423">
        <f t="shared" si="43"/>
        <v>140</v>
      </c>
      <c r="B288" s="443">
        <v>3007</v>
      </c>
      <c r="C288" s="84">
        <v>160</v>
      </c>
      <c r="D288" s="27" t="s">
        <v>22</v>
      </c>
      <c r="E288" s="27" t="s">
        <v>23</v>
      </c>
      <c r="F288" s="28">
        <v>33</v>
      </c>
      <c r="G288" s="74">
        <f t="shared" si="40"/>
        <v>5</v>
      </c>
      <c r="H288" s="28">
        <v>5</v>
      </c>
      <c r="I288" s="28">
        <v>0</v>
      </c>
      <c r="J288" s="19">
        <f t="shared" si="41"/>
        <v>306.8</v>
      </c>
      <c r="K288" s="25">
        <v>306.8</v>
      </c>
      <c r="L288" s="25"/>
      <c r="M288" s="21">
        <v>40270.4</v>
      </c>
      <c r="N288" s="22">
        <v>39747.57</v>
      </c>
      <c r="O288" s="21">
        <f t="shared" si="42"/>
        <v>522.8300000000017</v>
      </c>
      <c r="P288" s="23">
        <v>1912</v>
      </c>
      <c r="Q288" s="24" t="s">
        <v>24</v>
      </c>
      <c r="R288" s="24" t="s">
        <v>24</v>
      </c>
      <c r="S288" s="217"/>
      <c r="T288" s="211"/>
      <c r="U288" s="288">
        <v>2710</v>
      </c>
      <c r="V288" s="290">
        <f t="shared" si="39"/>
        <v>831428</v>
      </c>
      <c r="W288" s="211"/>
    </row>
    <row r="289" spans="1:23" ht="12.75">
      <c r="A289" s="423">
        <f t="shared" si="43"/>
        <v>141</v>
      </c>
      <c r="B289" s="110">
        <v>3174</v>
      </c>
      <c r="C289" s="367">
        <v>161</v>
      </c>
      <c r="D289" s="27" t="s">
        <v>78</v>
      </c>
      <c r="E289" s="27" t="s">
        <v>158</v>
      </c>
      <c r="F289" s="28">
        <v>5</v>
      </c>
      <c r="G289" s="74">
        <f t="shared" si="40"/>
        <v>4</v>
      </c>
      <c r="H289" s="28">
        <v>4</v>
      </c>
      <c r="I289" s="28">
        <v>0</v>
      </c>
      <c r="J289" s="19">
        <f t="shared" si="41"/>
        <v>212.91</v>
      </c>
      <c r="K289" s="25">
        <v>212.91</v>
      </c>
      <c r="L289" s="25"/>
      <c r="M289" s="21">
        <v>58740.36</v>
      </c>
      <c r="N289" s="22">
        <v>35760.96</v>
      </c>
      <c r="O289" s="21">
        <f t="shared" si="42"/>
        <v>22979.4</v>
      </c>
      <c r="P289" s="23">
        <v>1920</v>
      </c>
      <c r="Q289" s="24" t="s">
        <v>24</v>
      </c>
      <c r="R289" s="24" t="s">
        <v>24</v>
      </c>
      <c r="S289" s="217"/>
      <c r="T289" s="211"/>
      <c r="U289" s="288">
        <v>2710</v>
      </c>
      <c r="V289" s="290">
        <f t="shared" si="39"/>
        <v>576986.1</v>
      </c>
      <c r="W289" s="211"/>
    </row>
    <row r="290" spans="1:23" ht="12.75">
      <c r="A290" s="423">
        <f t="shared" si="43"/>
        <v>142</v>
      </c>
      <c r="B290" s="443">
        <v>1024</v>
      </c>
      <c r="C290" s="84">
        <v>162</v>
      </c>
      <c r="D290" s="27" t="s">
        <v>22</v>
      </c>
      <c r="E290" s="27" t="s">
        <v>27</v>
      </c>
      <c r="F290" s="28">
        <v>21</v>
      </c>
      <c r="G290" s="74">
        <f t="shared" si="40"/>
        <v>5</v>
      </c>
      <c r="H290" s="28">
        <v>5</v>
      </c>
      <c r="I290" s="28">
        <v>0</v>
      </c>
      <c r="J290" s="19">
        <f t="shared" si="41"/>
        <v>321.87</v>
      </c>
      <c r="K290" s="25">
        <v>321.87</v>
      </c>
      <c r="L290" s="25"/>
      <c r="M290" s="21">
        <v>75635.97</v>
      </c>
      <c r="N290" s="22">
        <v>57018.92</v>
      </c>
      <c r="O290" s="21">
        <f t="shared" si="42"/>
        <v>18617.050000000003</v>
      </c>
      <c r="P290" s="23">
        <v>1935</v>
      </c>
      <c r="Q290" s="24" t="s">
        <v>24</v>
      </c>
      <c r="R290" s="24" t="s">
        <v>24</v>
      </c>
      <c r="S290" s="217"/>
      <c r="T290" s="211"/>
      <c r="U290" s="288">
        <v>2710</v>
      </c>
      <c r="V290" s="290">
        <f t="shared" si="39"/>
        <v>872267.7000000001</v>
      </c>
      <c r="W290" s="211"/>
    </row>
    <row r="291" spans="1:23" ht="12.75">
      <c r="A291" s="423">
        <f t="shared" si="43"/>
        <v>143</v>
      </c>
      <c r="B291" s="110">
        <v>3185</v>
      </c>
      <c r="C291" s="367">
        <v>163</v>
      </c>
      <c r="D291" s="27" t="s">
        <v>159</v>
      </c>
      <c r="E291" s="27" t="s">
        <v>84</v>
      </c>
      <c r="F291" s="28">
        <v>1</v>
      </c>
      <c r="G291" s="74">
        <f t="shared" si="40"/>
        <v>4</v>
      </c>
      <c r="H291" s="28">
        <v>4</v>
      </c>
      <c r="I291" s="28">
        <v>0</v>
      </c>
      <c r="J291" s="19">
        <f t="shared" si="41"/>
        <v>218.82</v>
      </c>
      <c r="K291" s="25">
        <v>218.82</v>
      </c>
      <c r="L291" s="25"/>
      <c r="M291" s="21">
        <v>87152.31</v>
      </c>
      <c r="N291" s="22">
        <v>31058.55</v>
      </c>
      <c r="O291" s="21">
        <f t="shared" si="42"/>
        <v>56093.759999999995</v>
      </c>
      <c r="P291" s="23">
        <v>1920</v>
      </c>
      <c r="Q291" s="24" t="s">
        <v>24</v>
      </c>
      <c r="R291" s="24" t="s">
        <v>24</v>
      </c>
      <c r="S291" s="218" t="s">
        <v>250</v>
      </c>
      <c r="T291" s="211" t="s">
        <v>259</v>
      </c>
      <c r="U291" s="288">
        <v>2710</v>
      </c>
      <c r="V291" s="290">
        <f t="shared" si="39"/>
        <v>593002.2</v>
      </c>
      <c r="W291" s="211"/>
    </row>
    <row r="292" spans="1:23" ht="12.75">
      <c r="A292" s="423">
        <f t="shared" si="43"/>
        <v>144</v>
      </c>
      <c r="B292" s="451">
        <v>3180</v>
      </c>
      <c r="C292" s="369">
        <v>165</v>
      </c>
      <c r="D292" s="17" t="s">
        <v>78</v>
      </c>
      <c r="E292" s="17" t="s">
        <v>82</v>
      </c>
      <c r="F292" s="18">
        <v>4</v>
      </c>
      <c r="G292" s="18">
        <f aca="true" t="shared" si="44" ref="G292:G314">SUM(H292:I292)</f>
        <v>3</v>
      </c>
      <c r="H292" s="18">
        <v>3</v>
      </c>
      <c r="I292" s="18">
        <v>0</v>
      </c>
      <c r="J292" s="19">
        <f t="shared" si="41"/>
        <v>188.41</v>
      </c>
      <c r="K292" s="20">
        <v>188.41</v>
      </c>
      <c r="L292" s="20"/>
      <c r="M292" s="21">
        <v>25804.55</v>
      </c>
      <c r="N292" s="22">
        <v>13356.77</v>
      </c>
      <c r="O292" s="21">
        <f t="shared" si="42"/>
        <v>12447.779999999999</v>
      </c>
      <c r="P292" s="23">
        <v>1910</v>
      </c>
      <c r="Q292" s="24" t="s">
        <v>24</v>
      </c>
      <c r="R292" s="24" t="s">
        <v>24</v>
      </c>
      <c r="S292" s="218" t="s">
        <v>250</v>
      </c>
      <c r="T292" s="211" t="s">
        <v>259</v>
      </c>
      <c r="U292" s="288">
        <v>2710</v>
      </c>
      <c r="V292" s="290">
        <f t="shared" si="39"/>
        <v>510591.1</v>
      </c>
      <c r="W292" s="211"/>
    </row>
    <row r="293" spans="1:23" ht="12.75">
      <c r="A293" s="423">
        <f t="shared" si="43"/>
        <v>145</v>
      </c>
      <c r="B293" s="452">
        <v>3083</v>
      </c>
      <c r="C293" s="139">
        <v>166</v>
      </c>
      <c r="D293" s="17" t="s">
        <v>22</v>
      </c>
      <c r="E293" s="17" t="s">
        <v>45</v>
      </c>
      <c r="F293" s="18">
        <v>14</v>
      </c>
      <c r="G293" s="18">
        <f t="shared" si="44"/>
        <v>5</v>
      </c>
      <c r="H293" s="18">
        <v>5</v>
      </c>
      <c r="I293" s="18">
        <v>0</v>
      </c>
      <c r="J293" s="19">
        <f t="shared" si="41"/>
        <v>346.63</v>
      </c>
      <c r="K293" s="20">
        <v>346.63</v>
      </c>
      <c r="L293" s="20"/>
      <c r="M293" s="21">
        <v>30406.55</v>
      </c>
      <c r="N293" s="22">
        <v>30406.55</v>
      </c>
      <c r="O293" s="21">
        <f t="shared" si="42"/>
        <v>0</v>
      </c>
      <c r="P293" s="23">
        <v>1925</v>
      </c>
      <c r="Q293" s="24"/>
      <c r="R293" s="24"/>
      <c r="S293" s="217"/>
      <c r="T293" s="211"/>
      <c r="U293" s="288">
        <v>2710</v>
      </c>
      <c r="V293" s="290">
        <f t="shared" si="39"/>
        <v>939367.2999999999</v>
      </c>
      <c r="W293" s="211"/>
    </row>
    <row r="294" spans="1:23" ht="12.75">
      <c r="A294" s="423">
        <f t="shared" si="43"/>
        <v>146</v>
      </c>
      <c r="B294" s="452">
        <v>3080</v>
      </c>
      <c r="C294" s="139">
        <v>167</v>
      </c>
      <c r="D294" s="17" t="s">
        <v>22</v>
      </c>
      <c r="E294" s="17" t="s">
        <v>43</v>
      </c>
      <c r="F294" s="18">
        <v>21</v>
      </c>
      <c r="G294" s="18">
        <f t="shared" si="44"/>
        <v>3</v>
      </c>
      <c r="H294" s="18">
        <v>3</v>
      </c>
      <c r="I294" s="18">
        <v>0</v>
      </c>
      <c r="J294" s="19">
        <f t="shared" si="41"/>
        <v>188.93</v>
      </c>
      <c r="K294" s="20">
        <v>188.93</v>
      </c>
      <c r="L294" s="20"/>
      <c r="M294" s="21">
        <v>36314.39</v>
      </c>
      <c r="N294" s="22">
        <v>10529.77</v>
      </c>
      <c r="O294" s="21">
        <f t="shared" si="42"/>
        <v>25784.62</v>
      </c>
      <c r="P294" s="23">
        <v>1928</v>
      </c>
      <c r="Q294" s="24" t="s">
        <v>24</v>
      </c>
      <c r="R294" s="24" t="s">
        <v>24</v>
      </c>
      <c r="S294" s="217"/>
      <c r="T294" s="211"/>
      <c r="U294" s="288">
        <v>2710</v>
      </c>
      <c r="V294" s="290">
        <f t="shared" si="39"/>
        <v>512000.30000000005</v>
      </c>
      <c r="W294" s="211"/>
    </row>
    <row r="295" spans="1:23" ht="12.75">
      <c r="A295" s="423">
        <f t="shared" si="43"/>
        <v>147</v>
      </c>
      <c r="B295" s="443">
        <v>1092</v>
      </c>
      <c r="C295" s="84">
        <v>170</v>
      </c>
      <c r="D295" s="27" t="s">
        <v>22</v>
      </c>
      <c r="E295" s="27" t="s">
        <v>128</v>
      </c>
      <c r="F295" s="28" t="s">
        <v>99</v>
      </c>
      <c r="G295" s="18">
        <f t="shared" si="44"/>
        <v>11</v>
      </c>
      <c r="H295" s="18">
        <v>10</v>
      </c>
      <c r="I295" s="18">
        <v>1</v>
      </c>
      <c r="J295" s="19">
        <f t="shared" si="41"/>
        <v>626.88</v>
      </c>
      <c r="K295" s="20">
        <v>593.84</v>
      </c>
      <c r="L295" s="20">
        <v>33.04</v>
      </c>
      <c r="M295" s="37">
        <v>154013.78</v>
      </c>
      <c r="N295" s="22">
        <v>124173.75</v>
      </c>
      <c r="O295" s="21">
        <f t="shared" si="42"/>
        <v>29840.03</v>
      </c>
      <c r="P295" s="23">
        <v>1935</v>
      </c>
      <c r="Q295" s="24" t="s">
        <v>24</v>
      </c>
      <c r="R295" s="24" t="s">
        <v>24</v>
      </c>
      <c r="S295" s="217"/>
      <c r="T295" s="211"/>
      <c r="U295" s="288">
        <v>2710</v>
      </c>
      <c r="V295" s="290">
        <f t="shared" si="39"/>
        <v>1698844.8</v>
      </c>
      <c r="W295" s="211"/>
    </row>
    <row r="296" spans="1:24" ht="12.75">
      <c r="A296" s="423">
        <f t="shared" si="43"/>
        <v>148</v>
      </c>
      <c r="B296" s="443">
        <v>3028</v>
      </c>
      <c r="C296" s="84">
        <v>171</v>
      </c>
      <c r="D296" s="27" t="s">
        <v>22</v>
      </c>
      <c r="E296" s="27" t="s">
        <v>33</v>
      </c>
      <c r="F296" s="18">
        <v>14</v>
      </c>
      <c r="G296" s="18">
        <f t="shared" si="44"/>
        <v>3</v>
      </c>
      <c r="H296" s="18">
        <v>3</v>
      </c>
      <c r="I296" s="18">
        <v>0</v>
      </c>
      <c r="J296" s="19">
        <f t="shared" si="41"/>
        <v>172.05</v>
      </c>
      <c r="K296" s="20">
        <v>172.05</v>
      </c>
      <c r="L296" s="20"/>
      <c r="M296" s="37">
        <v>54032.9</v>
      </c>
      <c r="N296" s="22">
        <v>29158.31</v>
      </c>
      <c r="O296" s="21">
        <f t="shared" si="42"/>
        <v>24874.59</v>
      </c>
      <c r="P296" s="23">
        <v>1912</v>
      </c>
      <c r="Q296" s="24" t="s">
        <v>24</v>
      </c>
      <c r="R296" s="24" t="s">
        <v>24</v>
      </c>
      <c r="S296" s="218">
        <v>1998</v>
      </c>
      <c r="T296" s="214"/>
      <c r="U296" s="288">
        <v>2710</v>
      </c>
      <c r="V296" s="290">
        <f t="shared" si="39"/>
        <v>466255.50000000006</v>
      </c>
      <c r="W296" s="212"/>
      <c r="X296" s="53"/>
    </row>
    <row r="297" spans="1:23" ht="12.75">
      <c r="A297" s="423">
        <f t="shared" si="43"/>
        <v>149</v>
      </c>
      <c r="B297" s="443">
        <v>1047</v>
      </c>
      <c r="C297" s="84">
        <v>172</v>
      </c>
      <c r="D297" s="27" t="s">
        <v>22</v>
      </c>
      <c r="E297" s="27" t="s">
        <v>119</v>
      </c>
      <c r="F297" s="28">
        <v>1</v>
      </c>
      <c r="G297" s="18">
        <f t="shared" si="44"/>
        <v>5</v>
      </c>
      <c r="H297" s="18">
        <v>5</v>
      </c>
      <c r="I297" s="18">
        <v>0</v>
      </c>
      <c r="J297" s="19">
        <f t="shared" si="41"/>
        <v>235.67</v>
      </c>
      <c r="K297" s="20">
        <v>235.67</v>
      </c>
      <c r="L297" s="20"/>
      <c r="M297" s="37">
        <v>27448.43</v>
      </c>
      <c r="N297" s="22">
        <v>27448.43</v>
      </c>
      <c r="O297" s="21">
        <f t="shared" si="42"/>
        <v>0</v>
      </c>
      <c r="P297" s="23">
        <v>1930</v>
      </c>
      <c r="Q297" s="24" t="s">
        <v>24</v>
      </c>
      <c r="R297" s="24" t="s">
        <v>24</v>
      </c>
      <c r="S297" s="217"/>
      <c r="T297" s="211"/>
      <c r="U297" s="288">
        <v>2710</v>
      </c>
      <c r="V297" s="290">
        <f t="shared" si="39"/>
        <v>638665.7</v>
      </c>
      <c r="W297" s="211"/>
    </row>
    <row r="298" spans="1:23" ht="12.75">
      <c r="A298" s="458">
        <f t="shared" si="43"/>
        <v>150</v>
      </c>
      <c r="B298" s="453">
        <v>2001</v>
      </c>
      <c r="C298" s="365">
        <v>173</v>
      </c>
      <c r="D298" s="334" t="s">
        <v>22</v>
      </c>
      <c r="E298" s="335" t="s">
        <v>274</v>
      </c>
      <c r="F298" s="336">
        <v>24</v>
      </c>
      <c r="G298" s="336">
        <f t="shared" si="44"/>
        <v>3</v>
      </c>
      <c r="H298" s="336">
        <v>3</v>
      </c>
      <c r="I298" s="336">
        <v>0</v>
      </c>
      <c r="J298" s="194">
        <f t="shared" si="41"/>
        <v>0</v>
      </c>
      <c r="K298" s="337"/>
      <c r="L298" s="337"/>
      <c r="M298" s="338"/>
      <c r="N298" s="339">
        <v>43328.72</v>
      </c>
      <c r="O298" s="338">
        <f t="shared" si="42"/>
        <v>-43328.72</v>
      </c>
      <c r="P298" s="340"/>
      <c r="Q298" s="341"/>
      <c r="R298" s="341"/>
      <c r="S298" s="246"/>
      <c r="T298" s="211"/>
      <c r="U298" s="288"/>
      <c r="V298" s="290"/>
      <c r="W298" s="310" t="s">
        <v>275</v>
      </c>
    </row>
    <row r="299" spans="1:24" ht="12.75">
      <c r="A299" s="423">
        <f t="shared" si="43"/>
        <v>151</v>
      </c>
      <c r="B299" s="443">
        <v>3036</v>
      </c>
      <c r="C299" s="84">
        <v>174</v>
      </c>
      <c r="D299" s="27" t="s">
        <v>22</v>
      </c>
      <c r="E299" s="27" t="s">
        <v>36</v>
      </c>
      <c r="F299" s="18">
        <v>8</v>
      </c>
      <c r="G299" s="18">
        <f t="shared" si="44"/>
        <v>3</v>
      </c>
      <c r="H299" s="18">
        <v>2</v>
      </c>
      <c r="I299" s="18">
        <v>1</v>
      </c>
      <c r="J299" s="19">
        <f t="shared" si="41"/>
        <v>212.41</v>
      </c>
      <c r="K299" s="20">
        <v>106.91</v>
      </c>
      <c r="L299" s="20">
        <v>105.5</v>
      </c>
      <c r="M299" s="37">
        <v>36338.21</v>
      </c>
      <c r="N299" s="22">
        <v>36338.21</v>
      </c>
      <c r="O299" s="21">
        <f t="shared" si="42"/>
        <v>0</v>
      </c>
      <c r="P299" s="23">
        <v>1913</v>
      </c>
      <c r="Q299" s="24" t="s">
        <v>24</v>
      </c>
      <c r="R299" s="24" t="s">
        <v>24</v>
      </c>
      <c r="S299" s="217"/>
      <c r="T299" s="214"/>
      <c r="U299" s="288">
        <v>2710</v>
      </c>
      <c r="V299" s="290">
        <f aca="true" t="shared" si="45" ref="V299:V314">J299*U299</f>
        <v>575631.1</v>
      </c>
      <c r="W299" s="212"/>
      <c r="X299" s="53"/>
    </row>
    <row r="300" spans="1:23" ht="12.75">
      <c r="A300" s="423">
        <f t="shared" si="43"/>
        <v>152</v>
      </c>
      <c r="B300" s="452">
        <v>3012</v>
      </c>
      <c r="C300" s="139">
        <v>175</v>
      </c>
      <c r="D300" s="17" t="s">
        <v>22</v>
      </c>
      <c r="E300" s="17" t="s">
        <v>23</v>
      </c>
      <c r="F300" s="18">
        <v>31</v>
      </c>
      <c r="G300" s="18">
        <f t="shared" si="44"/>
        <v>7</v>
      </c>
      <c r="H300" s="18">
        <v>7</v>
      </c>
      <c r="I300" s="18">
        <v>0</v>
      </c>
      <c r="J300" s="19">
        <f t="shared" si="41"/>
        <v>390.7</v>
      </c>
      <c r="K300" s="20">
        <f>395.57-4.87</f>
        <v>390.7</v>
      </c>
      <c r="L300" s="20"/>
      <c r="M300" s="21">
        <v>100488.7</v>
      </c>
      <c r="N300" s="22">
        <v>68985.51</v>
      </c>
      <c r="O300" s="21">
        <f t="shared" si="42"/>
        <v>31503.190000000002</v>
      </c>
      <c r="P300" s="23">
        <v>1910</v>
      </c>
      <c r="Q300" s="24" t="s">
        <v>24</v>
      </c>
      <c r="R300" s="24" t="s">
        <v>24</v>
      </c>
      <c r="S300" s="217"/>
      <c r="T300" s="211"/>
      <c r="U300" s="288">
        <v>2710</v>
      </c>
      <c r="V300" s="290">
        <f t="shared" si="45"/>
        <v>1058797</v>
      </c>
      <c r="W300" s="211"/>
    </row>
    <row r="301" spans="1:23" ht="12.75">
      <c r="A301" s="423">
        <f t="shared" si="43"/>
        <v>153</v>
      </c>
      <c r="B301" s="451">
        <v>3110</v>
      </c>
      <c r="C301" s="369">
        <v>176</v>
      </c>
      <c r="D301" s="17" t="s">
        <v>66</v>
      </c>
      <c r="E301" s="17" t="s">
        <v>74</v>
      </c>
      <c r="F301" s="18">
        <v>16</v>
      </c>
      <c r="G301" s="18">
        <f t="shared" si="44"/>
        <v>4</v>
      </c>
      <c r="H301" s="18">
        <v>4</v>
      </c>
      <c r="I301" s="18">
        <v>0</v>
      </c>
      <c r="J301" s="19">
        <f t="shared" si="41"/>
        <v>176.62</v>
      </c>
      <c r="K301" s="20">
        <v>176.62</v>
      </c>
      <c r="L301" s="20"/>
      <c r="M301" s="21">
        <v>42712.83</v>
      </c>
      <c r="N301" s="22">
        <v>21936.91</v>
      </c>
      <c r="O301" s="21">
        <f t="shared" si="42"/>
        <v>20775.920000000002</v>
      </c>
      <c r="P301" s="23">
        <v>1912</v>
      </c>
      <c r="Q301" s="24" t="s">
        <v>24</v>
      </c>
      <c r="R301" s="24" t="s">
        <v>24</v>
      </c>
      <c r="S301" s="217"/>
      <c r="T301" s="211"/>
      <c r="U301" s="288">
        <v>2710</v>
      </c>
      <c r="V301" s="290">
        <f t="shared" si="45"/>
        <v>478640.2</v>
      </c>
      <c r="W301" s="211"/>
    </row>
    <row r="302" spans="1:23" ht="12.75">
      <c r="A302" s="423">
        <f t="shared" si="43"/>
        <v>154</v>
      </c>
      <c r="B302" s="451">
        <v>3018</v>
      </c>
      <c r="C302" s="369">
        <v>177</v>
      </c>
      <c r="D302" s="17" t="s">
        <v>66</v>
      </c>
      <c r="E302" s="17" t="s">
        <v>68</v>
      </c>
      <c r="F302" s="18">
        <v>1</v>
      </c>
      <c r="G302" s="18">
        <f t="shared" si="44"/>
        <v>6</v>
      </c>
      <c r="H302" s="18">
        <v>6</v>
      </c>
      <c r="I302" s="18">
        <v>0</v>
      </c>
      <c r="J302" s="19">
        <f t="shared" si="41"/>
        <v>211.61</v>
      </c>
      <c r="K302" s="20">
        <v>211.61</v>
      </c>
      <c r="L302" s="20"/>
      <c r="M302" s="21">
        <v>45333.85</v>
      </c>
      <c r="N302" s="22">
        <v>26247.03</v>
      </c>
      <c r="O302" s="21">
        <f t="shared" si="42"/>
        <v>19086.82</v>
      </c>
      <c r="P302" s="23">
        <v>1898</v>
      </c>
      <c r="Q302" s="24" t="s">
        <v>24</v>
      </c>
      <c r="R302" s="24" t="s">
        <v>24</v>
      </c>
      <c r="S302" s="217"/>
      <c r="T302" s="211"/>
      <c r="U302" s="288">
        <v>2710</v>
      </c>
      <c r="V302" s="290">
        <f t="shared" si="45"/>
        <v>573463.1000000001</v>
      </c>
      <c r="W302" s="211"/>
    </row>
    <row r="303" spans="1:23" ht="12.75">
      <c r="A303" s="423">
        <f t="shared" si="43"/>
        <v>155</v>
      </c>
      <c r="B303" s="454">
        <v>3100</v>
      </c>
      <c r="C303" s="366">
        <v>178</v>
      </c>
      <c r="D303" s="43" t="s">
        <v>22</v>
      </c>
      <c r="E303" s="43" t="s">
        <v>55</v>
      </c>
      <c r="F303" s="44">
        <v>6</v>
      </c>
      <c r="G303" s="18">
        <f t="shared" si="44"/>
        <v>5</v>
      </c>
      <c r="H303" s="18">
        <v>5</v>
      </c>
      <c r="I303" s="18">
        <v>0</v>
      </c>
      <c r="J303" s="19">
        <f t="shared" si="41"/>
        <v>305.46</v>
      </c>
      <c r="K303" s="45">
        <v>305.46</v>
      </c>
      <c r="L303" s="45"/>
      <c r="M303" s="21">
        <v>102819.43</v>
      </c>
      <c r="N303" s="22">
        <v>40267.97</v>
      </c>
      <c r="O303" s="21">
        <f t="shared" si="42"/>
        <v>62551.45999999999</v>
      </c>
      <c r="P303" s="23">
        <v>1905</v>
      </c>
      <c r="Q303" s="24" t="s">
        <v>24</v>
      </c>
      <c r="R303" s="24" t="s">
        <v>24</v>
      </c>
      <c r="S303" s="217"/>
      <c r="T303" s="211"/>
      <c r="U303" s="288">
        <v>2710</v>
      </c>
      <c r="V303" s="290">
        <f t="shared" si="45"/>
        <v>827796.6</v>
      </c>
      <c r="W303" s="211"/>
    </row>
    <row r="304" spans="1:23" ht="12.75">
      <c r="A304" s="423">
        <f t="shared" si="43"/>
        <v>156</v>
      </c>
      <c r="B304" s="451">
        <v>3122</v>
      </c>
      <c r="C304" s="369">
        <v>179</v>
      </c>
      <c r="D304" s="17" t="s">
        <v>66</v>
      </c>
      <c r="E304" s="17" t="s">
        <v>71</v>
      </c>
      <c r="F304" s="18">
        <v>36</v>
      </c>
      <c r="G304" s="18">
        <f t="shared" si="44"/>
        <v>4</v>
      </c>
      <c r="H304" s="18">
        <v>4</v>
      </c>
      <c r="I304" s="18">
        <v>0</v>
      </c>
      <c r="J304" s="19">
        <f t="shared" si="41"/>
        <v>202.21</v>
      </c>
      <c r="K304" s="20">
        <v>202.21</v>
      </c>
      <c r="L304" s="20"/>
      <c r="M304" s="21">
        <v>49835.74</v>
      </c>
      <c r="N304" s="22">
        <v>24190.54</v>
      </c>
      <c r="O304" s="21">
        <f t="shared" si="42"/>
        <v>25645.199999999997</v>
      </c>
      <c r="P304" s="23">
        <v>1904</v>
      </c>
      <c r="Q304" s="24" t="s">
        <v>24</v>
      </c>
      <c r="R304" s="24" t="s">
        <v>24</v>
      </c>
      <c r="S304" s="218" t="s">
        <v>250</v>
      </c>
      <c r="T304" s="211" t="s">
        <v>259</v>
      </c>
      <c r="U304" s="288">
        <v>2710</v>
      </c>
      <c r="V304" s="290">
        <f t="shared" si="45"/>
        <v>547989.1</v>
      </c>
      <c r="W304" s="211"/>
    </row>
    <row r="305" spans="1:23" ht="12.75">
      <c r="A305" s="423">
        <f t="shared" si="43"/>
        <v>157</v>
      </c>
      <c r="B305" s="452">
        <v>3165</v>
      </c>
      <c r="C305" s="139">
        <v>180</v>
      </c>
      <c r="D305" s="17" t="s">
        <v>22</v>
      </c>
      <c r="E305" s="17" t="s">
        <v>40</v>
      </c>
      <c r="F305" s="18">
        <v>53</v>
      </c>
      <c r="G305" s="18">
        <f t="shared" si="44"/>
        <v>3</v>
      </c>
      <c r="H305" s="18">
        <v>3</v>
      </c>
      <c r="I305" s="18">
        <v>0</v>
      </c>
      <c r="J305" s="19">
        <f t="shared" si="41"/>
        <v>177.34</v>
      </c>
      <c r="K305" s="20">
        <v>177.34</v>
      </c>
      <c r="L305" s="20"/>
      <c r="M305" s="21">
        <v>82404.76</v>
      </c>
      <c r="N305" s="22">
        <v>40953.25</v>
      </c>
      <c r="O305" s="21">
        <f t="shared" si="42"/>
        <v>41451.509999999995</v>
      </c>
      <c r="P305" s="23">
        <v>1905</v>
      </c>
      <c r="Q305" s="24" t="s">
        <v>24</v>
      </c>
      <c r="R305" s="24" t="s">
        <v>24</v>
      </c>
      <c r="S305" s="217"/>
      <c r="T305" s="211"/>
      <c r="U305" s="288">
        <v>2710</v>
      </c>
      <c r="V305" s="290">
        <f t="shared" si="45"/>
        <v>480591.4</v>
      </c>
      <c r="W305" s="211"/>
    </row>
    <row r="306" spans="1:23" ht="12.75">
      <c r="A306" s="423">
        <f t="shared" si="43"/>
        <v>158</v>
      </c>
      <c r="B306" s="452">
        <v>3054</v>
      </c>
      <c r="C306" s="139">
        <v>181</v>
      </c>
      <c r="D306" s="17" t="s">
        <v>22</v>
      </c>
      <c r="E306" s="17" t="s">
        <v>38</v>
      </c>
      <c r="F306" s="18">
        <v>3</v>
      </c>
      <c r="G306" s="18">
        <f t="shared" si="44"/>
        <v>2</v>
      </c>
      <c r="H306" s="18">
        <v>2</v>
      </c>
      <c r="I306" s="18">
        <v>0</v>
      </c>
      <c r="J306" s="19">
        <f t="shared" si="41"/>
        <v>130.67999999999998</v>
      </c>
      <c r="K306" s="20">
        <f>139.14-8.46</f>
        <v>130.67999999999998</v>
      </c>
      <c r="L306" s="20"/>
      <c r="M306" s="21">
        <v>30881</v>
      </c>
      <c r="N306" s="22">
        <v>27349.89</v>
      </c>
      <c r="O306" s="21">
        <f t="shared" si="42"/>
        <v>3531.1100000000006</v>
      </c>
      <c r="P306" s="23">
        <v>1905</v>
      </c>
      <c r="Q306" s="24" t="s">
        <v>24</v>
      </c>
      <c r="R306" s="24" t="s">
        <v>24</v>
      </c>
      <c r="S306" s="217"/>
      <c r="T306" s="211"/>
      <c r="U306" s="288">
        <v>2710</v>
      </c>
      <c r="V306" s="290">
        <f t="shared" si="45"/>
        <v>354142.79999999993</v>
      </c>
      <c r="W306" s="211"/>
    </row>
    <row r="307" spans="1:23" ht="37.5" customHeight="1">
      <c r="A307" s="423">
        <f t="shared" si="43"/>
        <v>159</v>
      </c>
      <c r="B307" s="443">
        <v>3052</v>
      </c>
      <c r="C307" s="84">
        <v>182</v>
      </c>
      <c r="D307" s="27" t="s">
        <v>22</v>
      </c>
      <c r="E307" s="27" t="s">
        <v>37</v>
      </c>
      <c r="F307" s="28">
        <v>8</v>
      </c>
      <c r="G307" s="28">
        <f t="shared" si="44"/>
        <v>9</v>
      </c>
      <c r="H307" s="28">
        <v>9</v>
      </c>
      <c r="I307" s="28">
        <v>0</v>
      </c>
      <c r="J307" s="19">
        <f t="shared" si="41"/>
        <v>371.8</v>
      </c>
      <c r="K307" s="25">
        <v>371.8</v>
      </c>
      <c r="L307" s="25"/>
      <c r="M307" s="37">
        <v>121233.5</v>
      </c>
      <c r="N307" s="38">
        <v>17979.46</v>
      </c>
      <c r="O307" s="37">
        <f t="shared" si="42"/>
        <v>103254.04000000001</v>
      </c>
      <c r="P307" s="39">
        <v>1928</v>
      </c>
      <c r="Q307" s="40" t="s">
        <v>24</v>
      </c>
      <c r="R307" s="40" t="s">
        <v>24</v>
      </c>
      <c r="S307" s="233"/>
      <c r="T307" s="211"/>
      <c r="U307" s="288">
        <v>2710</v>
      </c>
      <c r="V307" s="290">
        <f t="shared" si="45"/>
        <v>1007578</v>
      </c>
      <c r="W307" s="211"/>
    </row>
    <row r="308" spans="1:23" ht="12.75">
      <c r="A308" s="423">
        <f t="shared" si="43"/>
        <v>160</v>
      </c>
      <c r="B308" s="452">
        <v>3136</v>
      </c>
      <c r="C308" s="139">
        <v>184</v>
      </c>
      <c r="D308" s="17" t="s">
        <v>22</v>
      </c>
      <c r="E308" s="17" t="s">
        <v>163</v>
      </c>
      <c r="F308" s="18">
        <v>2</v>
      </c>
      <c r="G308" s="18">
        <f t="shared" si="44"/>
        <v>5</v>
      </c>
      <c r="H308" s="18">
        <v>5</v>
      </c>
      <c r="I308" s="18">
        <v>0</v>
      </c>
      <c r="J308" s="19">
        <f t="shared" si="41"/>
        <v>244.35999999999999</v>
      </c>
      <c r="K308" s="20">
        <f>248.63-4.27</f>
        <v>244.35999999999999</v>
      </c>
      <c r="L308" s="20"/>
      <c r="M308" s="21">
        <v>31397.42</v>
      </c>
      <c r="N308" s="22">
        <v>23280.38</v>
      </c>
      <c r="O308" s="21">
        <f t="shared" si="42"/>
        <v>8117.039999999997</v>
      </c>
      <c r="P308" s="23">
        <v>1904</v>
      </c>
      <c r="Q308" s="24" t="s">
        <v>24</v>
      </c>
      <c r="R308" s="24" t="s">
        <v>24</v>
      </c>
      <c r="S308" s="217"/>
      <c r="T308" s="211"/>
      <c r="U308" s="288">
        <v>2710</v>
      </c>
      <c r="V308" s="290">
        <f t="shared" si="45"/>
        <v>662215.6</v>
      </c>
      <c r="W308" s="211"/>
    </row>
    <row r="309" spans="1:23" ht="12.75">
      <c r="A309" s="423">
        <f t="shared" si="43"/>
        <v>161</v>
      </c>
      <c r="B309" s="452">
        <v>3034</v>
      </c>
      <c r="C309" s="139">
        <v>185</v>
      </c>
      <c r="D309" s="17" t="s">
        <v>22</v>
      </c>
      <c r="E309" s="17" t="s">
        <v>36</v>
      </c>
      <c r="F309" s="18">
        <v>2</v>
      </c>
      <c r="G309" s="18">
        <f t="shared" si="44"/>
        <v>6</v>
      </c>
      <c r="H309" s="18">
        <v>4</v>
      </c>
      <c r="I309" s="18">
        <v>2</v>
      </c>
      <c r="J309" s="19">
        <f aca="true" t="shared" si="46" ref="J309:J314">SUM(K309:L309)</f>
        <v>336.68</v>
      </c>
      <c r="K309" s="20">
        <f>236.84-5.73</f>
        <v>231.11</v>
      </c>
      <c r="L309" s="20">
        <f>100.41+7.16-2</f>
        <v>105.57</v>
      </c>
      <c r="M309" s="21">
        <v>124057.75</v>
      </c>
      <c r="N309" s="22">
        <v>69672.89</v>
      </c>
      <c r="O309" s="21">
        <f aca="true" t="shared" si="47" ref="O309:O314">M309-N309</f>
        <v>54384.86</v>
      </c>
      <c r="P309" s="23">
        <v>1912</v>
      </c>
      <c r="Q309" s="24" t="s">
        <v>24</v>
      </c>
      <c r="R309" s="24" t="s">
        <v>24</v>
      </c>
      <c r="S309" s="217"/>
      <c r="T309" s="211"/>
      <c r="U309" s="288">
        <v>2710</v>
      </c>
      <c r="V309" s="290">
        <f t="shared" si="45"/>
        <v>912402.8</v>
      </c>
      <c r="W309" s="211"/>
    </row>
    <row r="310" spans="1:23" ht="12.75">
      <c r="A310" s="423">
        <f t="shared" si="43"/>
        <v>162</v>
      </c>
      <c r="B310" s="452">
        <v>3059</v>
      </c>
      <c r="C310" s="139">
        <v>185</v>
      </c>
      <c r="D310" s="17" t="s">
        <v>22</v>
      </c>
      <c r="E310" s="17" t="s">
        <v>40</v>
      </c>
      <c r="F310" s="18">
        <v>1</v>
      </c>
      <c r="G310" s="18">
        <f t="shared" si="44"/>
        <v>4</v>
      </c>
      <c r="H310" s="18">
        <v>2</v>
      </c>
      <c r="I310" s="18">
        <v>2</v>
      </c>
      <c r="J310" s="19">
        <f t="shared" si="46"/>
        <v>204.04</v>
      </c>
      <c r="K310" s="25">
        <v>114.44</v>
      </c>
      <c r="L310" s="25">
        <v>89.6</v>
      </c>
      <c r="M310" s="21">
        <v>88027.81</v>
      </c>
      <c r="N310" s="22">
        <v>41275.6</v>
      </c>
      <c r="O310" s="21">
        <f t="shared" si="47"/>
        <v>46752.21</v>
      </c>
      <c r="P310" s="23">
        <v>1900</v>
      </c>
      <c r="Q310" s="24" t="s">
        <v>24</v>
      </c>
      <c r="R310" s="24" t="s">
        <v>24</v>
      </c>
      <c r="S310" s="217"/>
      <c r="T310" s="211"/>
      <c r="U310" s="288">
        <v>2710</v>
      </c>
      <c r="V310" s="290">
        <f t="shared" si="45"/>
        <v>552948.4</v>
      </c>
      <c r="W310" s="211"/>
    </row>
    <row r="311" spans="1:23" ht="22.5" customHeight="1">
      <c r="A311" s="423">
        <f t="shared" si="43"/>
        <v>163</v>
      </c>
      <c r="B311" s="443">
        <v>3060</v>
      </c>
      <c r="C311" s="84">
        <v>185</v>
      </c>
      <c r="D311" s="27" t="s">
        <v>22</v>
      </c>
      <c r="E311" s="27" t="s">
        <v>40</v>
      </c>
      <c r="F311" s="28">
        <v>3</v>
      </c>
      <c r="G311" s="28">
        <f t="shared" si="44"/>
        <v>10</v>
      </c>
      <c r="H311" s="28">
        <v>8</v>
      </c>
      <c r="I311" s="28">
        <v>2</v>
      </c>
      <c r="J311" s="19">
        <f t="shared" si="46"/>
        <v>715.34</v>
      </c>
      <c r="K311" s="25">
        <v>475.62</v>
      </c>
      <c r="L311" s="25">
        <v>239.72</v>
      </c>
      <c r="M311" s="37">
        <v>52491.7</v>
      </c>
      <c r="N311" s="38">
        <v>19559.35</v>
      </c>
      <c r="O311" s="37">
        <f t="shared" si="47"/>
        <v>32932.35</v>
      </c>
      <c r="P311" s="39">
        <v>1900</v>
      </c>
      <c r="Q311" s="40" t="s">
        <v>24</v>
      </c>
      <c r="R311" s="40" t="s">
        <v>24</v>
      </c>
      <c r="S311" s="251" t="s">
        <v>254</v>
      </c>
      <c r="T311" s="219" t="s">
        <v>261</v>
      </c>
      <c r="U311" s="288">
        <v>2710</v>
      </c>
      <c r="V311" s="290">
        <f t="shared" si="45"/>
        <v>1938571.4000000001</v>
      </c>
      <c r="W311" s="211"/>
    </row>
    <row r="312" spans="1:23" ht="12.75">
      <c r="A312" s="423">
        <f t="shared" si="43"/>
        <v>164</v>
      </c>
      <c r="B312" s="110">
        <v>1119</v>
      </c>
      <c r="C312" s="367">
        <v>186</v>
      </c>
      <c r="D312" s="27" t="s">
        <v>22</v>
      </c>
      <c r="E312" s="27" t="s">
        <v>162</v>
      </c>
      <c r="F312" s="28">
        <v>9</v>
      </c>
      <c r="G312" s="28">
        <f t="shared" si="44"/>
        <v>8</v>
      </c>
      <c r="H312" s="28">
        <v>8</v>
      </c>
      <c r="I312" s="28">
        <v>0</v>
      </c>
      <c r="J312" s="19">
        <f t="shared" si="46"/>
        <v>432.2</v>
      </c>
      <c r="K312" s="25">
        <v>432.2</v>
      </c>
      <c r="L312" s="25"/>
      <c r="M312" s="37">
        <v>596809.99</v>
      </c>
      <c r="N312" s="38">
        <v>47926.4</v>
      </c>
      <c r="O312" s="37">
        <f t="shared" si="47"/>
        <v>548883.59</v>
      </c>
      <c r="P312" s="39">
        <v>1935</v>
      </c>
      <c r="Q312" s="40" t="s">
        <v>24</v>
      </c>
      <c r="R312" s="40" t="s">
        <v>24</v>
      </c>
      <c r="S312" s="233"/>
      <c r="T312" s="211"/>
      <c r="U312" s="288">
        <v>2710</v>
      </c>
      <c r="V312" s="290">
        <f t="shared" si="45"/>
        <v>1171262</v>
      </c>
      <c r="W312" s="211"/>
    </row>
    <row r="313" spans="1:23" ht="12.75">
      <c r="A313" s="423">
        <f t="shared" si="43"/>
        <v>165</v>
      </c>
      <c r="B313" s="110">
        <v>3164</v>
      </c>
      <c r="C313" s="367">
        <v>187</v>
      </c>
      <c r="D313" s="27" t="s">
        <v>164</v>
      </c>
      <c r="E313" s="27" t="s">
        <v>165</v>
      </c>
      <c r="F313" s="28">
        <v>3</v>
      </c>
      <c r="G313" s="28">
        <f t="shared" si="44"/>
        <v>6</v>
      </c>
      <c r="H313" s="28">
        <v>6</v>
      </c>
      <c r="I313" s="28">
        <v>0</v>
      </c>
      <c r="J313" s="173">
        <f t="shared" si="46"/>
        <v>229.07</v>
      </c>
      <c r="K313" s="25">
        <v>229.07</v>
      </c>
      <c r="L313" s="25"/>
      <c r="M313" s="37">
        <v>44784.99</v>
      </c>
      <c r="N313" s="38">
        <v>32902.22</v>
      </c>
      <c r="O313" s="37">
        <f t="shared" si="47"/>
        <v>11882.769999999997</v>
      </c>
      <c r="P313" s="39">
        <v>1892</v>
      </c>
      <c r="Q313" s="40" t="s">
        <v>24</v>
      </c>
      <c r="R313" s="40" t="s">
        <v>24</v>
      </c>
      <c r="S313" s="233"/>
      <c r="T313" s="211"/>
      <c r="U313" s="288">
        <v>2710</v>
      </c>
      <c r="V313" s="290">
        <f t="shared" si="45"/>
        <v>620779.7</v>
      </c>
      <c r="W313" s="211"/>
    </row>
    <row r="314" spans="1:23" ht="12.75">
      <c r="A314" s="458">
        <f t="shared" si="43"/>
        <v>166</v>
      </c>
      <c r="B314" s="445">
        <v>3011</v>
      </c>
      <c r="C314" s="345">
        <v>190</v>
      </c>
      <c r="D314" s="192" t="s">
        <v>22</v>
      </c>
      <c r="E314" s="192" t="s">
        <v>23</v>
      </c>
      <c r="F314" s="193">
        <v>14</v>
      </c>
      <c r="G314" s="193">
        <f t="shared" si="44"/>
        <v>4</v>
      </c>
      <c r="H314" s="193">
        <v>4</v>
      </c>
      <c r="I314" s="193">
        <v>0</v>
      </c>
      <c r="J314" s="194">
        <f t="shared" si="46"/>
        <v>282.8</v>
      </c>
      <c r="K314" s="195">
        <v>282.8</v>
      </c>
      <c r="L314" s="195"/>
      <c r="M314" s="196">
        <v>36366.79</v>
      </c>
      <c r="N314" s="197">
        <v>44018.15</v>
      </c>
      <c r="O314" s="196">
        <f t="shared" si="47"/>
        <v>-7651.360000000001</v>
      </c>
      <c r="P314" s="198">
        <v>1912</v>
      </c>
      <c r="Q314" s="199" t="s">
        <v>24</v>
      </c>
      <c r="R314" s="199" t="s">
        <v>24</v>
      </c>
      <c r="S314" s="342"/>
      <c r="T314" s="332"/>
      <c r="U314" s="333">
        <v>2710</v>
      </c>
      <c r="V314" s="343">
        <f t="shared" si="45"/>
        <v>766388</v>
      </c>
      <c r="W314" s="211"/>
    </row>
    <row r="315" spans="1:23" ht="12.75">
      <c r="A315" s="423">
        <f t="shared" si="43"/>
        <v>167</v>
      </c>
      <c r="B315" s="455"/>
      <c r="C315" s="123"/>
      <c r="D315" s="123"/>
      <c r="E315" s="123"/>
      <c r="F315" s="376"/>
      <c r="G315" s="376"/>
      <c r="H315" s="376"/>
      <c r="I315" s="376"/>
      <c r="J315" s="21"/>
      <c r="K315" s="21"/>
      <c r="L315" s="21"/>
      <c r="M315" s="232"/>
      <c r="N315" s="377"/>
      <c r="O315" s="232"/>
      <c r="P315" s="23"/>
      <c r="Q315" s="232"/>
      <c r="R315" s="232"/>
      <c r="S315" s="218"/>
      <c r="T315" s="211"/>
      <c r="U315" s="211"/>
      <c r="V315" s="211"/>
      <c r="W315" s="211"/>
    </row>
    <row r="316" spans="1:23" ht="12.75">
      <c r="A316" s="423">
        <f t="shared" si="43"/>
        <v>168</v>
      </c>
      <c r="B316" s="455"/>
      <c r="C316" s="123"/>
      <c r="D316" s="123"/>
      <c r="E316" s="123"/>
      <c r="F316" s="376"/>
      <c r="G316" s="376"/>
      <c r="H316" s="376"/>
      <c r="I316" s="376"/>
      <c r="J316" s="21"/>
      <c r="K316" s="21"/>
      <c r="L316" s="21"/>
      <c r="M316" s="232"/>
      <c r="N316" s="377"/>
      <c r="O316" s="232"/>
      <c r="P316" s="23"/>
      <c r="Q316" s="232"/>
      <c r="R316" s="232"/>
      <c r="S316" s="218"/>
      <c r="T316" s="211"/>
      <c r="U316" s="211"/>
      <c r="V316" s="211"/>
      <c r="W316" s="211"/>
    </row>
    <row r="317" spans="1:23" ht="12.75">
      <c r="A317" s="423">
        <f t="shared" si="43"/>
        <v>169</v>
      </c>
      <c r="B317" s="456"/>
      <c r="C317" s="47"/>
      <c r="D317" s="48"/>
      <c r="E317" s="48"/>
      <c r="F317" s="47"/>
      <c r="G317" s="47"/>
      <c r="H317" s="47"/>
      <c r="I317" s="47"/>
      <c r="J317" s="52"/>
      <c r="K317" s="52"/>
      <c r="L317" s="49"/>
      <c r="M317" s="402"/>
      <c r="N317" s="141"/>
      <c r="O317" s="402"/>
      <c r="P317" s="403"/>
      <c r="Q317" s="404"/>
      <c r="R317" s="404"/>
      <c r="S317" s="256"/>
      <c r="T317" s="258"/>
      <c r="U317" s="405"/>
      <c r="V317" s="406"/>
      <c r="W317" s="258"/>
    </row>
    <row r="318" spans="1:23" ht="12.75">
      <c r="A318" s="408"/>
      <c r="B318" s="457"/>
      <c r="C318" s="408"/>
      <c r="D318" s="408"/>
      <c r="E318" s="408"/>
      <c r="F318" s="409"/>
      <c r="G318" s="410">
        <f>SUM(G149:G317)</f>
        <v>1903</v>
      </c>
      <c r="H318" s="410">
        <f aca="true" t="shared" si="48" ref="H318:N318">SUM(H151:H317)</f>
        <v>1830</v>
      </c>
      <c r="I318" s="411">
        <f t="shared" si="48"/>
        <v>59</v>
      </c>
      <c r="J318" s="412">
        <f>SUM(J149:J317)</f>
        <v>101429.85</v>
      </c>
      <c r="K318" s="412">
        <f t="shared" si="48"/>
        <v>97027.56</v>
      </c>
      <c r="L318" s="412">
        <f t="shared" si="48"/>
        <v>3444.2300000000005</v>
      </c>
      <c r="M318" s="412">
        <f>SUM(M149:M317)</f>
        <v>25810518.049999986</v>
      </c>
      <c r="N318" s="412">
        <f t="shared" si="48"/>
        <v>9483302.260000007</v>
      </c>
      <c r="O318" s="412">
        <f>M318-N318</f>
        <v>16327215.789999979</v>
      </c>
      <c r="P318" s="413"/>
      <c r="Q318" s="414"/>
      <c r="R318" s="414"/>
      <c r="S318" s="262"/>
      <c r="T318" s="263"/>
      <c r="U318" s="211"/>
      <c r="V318" s="312">
        <f>SUM(V149:V317)</f>
        <v>274874893.5</v>
      </c>
      <c r="W318" s="316" t="s">
        <v>167</v>
      </c>
    </row>
    <row r="319" spans="1:20" ht="12.75">
      <c r="A319" s="78"/>
      <c r="B319" s="78"/>
      <c r="C319" s="78"/>
      <c r="D319" s="78"/>
      <c r="E319" s="78"/>
      <c r="F319" s="53"/>
      <c r="G319" s="79"/>
      <c r="H319" s="79"/>
      <c r="I319" s="79"/>
      <c r="J319" s="69"/>
      <c r="K319" s="80"/>
      <c r="L319" s="69"/>
      <c r="M319" s="69"/>
      <c r="N319" s="69"/>
      <c r="O319" s="69"/>
      <c r="P319" s="66"/>
      <c r="S319" s="235"/>
      <c r="T319" s="407"/>
    </row>
    <row r="320" spans="1:20" ht="12.75">
      <c r="A320" s="53"/>
      <c r="B320" s="53"/>
      <c r="C320" s="53"/>
      <c r="D320" s="53"/>
      <c r="E320" s="53"/>
      <c r="F320" s="53"/>
      <c r="G320" s="53"/>
      <c r="H320" s="53"/>
      <c r="I320" s="53"/>
      <c r="J320" s="71"/>
      <c r="K320" s="81"/>
      <c r="L320" s="81"/>
      <c r="M320" s="81"/>
      <c r="N320" s="81"/>
      <c r="O320" s="81"/>
      <c r="P320" s="73"/>
      <c r="S320" s="235"/>
      <c r="T320" s="305"/>
    </row>
    <row r="321" spans="1:19" ht="12.75">
      <c r="A321" s="474" t="s">
        <v>168</v>
      </c>
      <c r="B321" s="474"/>
      <c r="C321" s="474"/>
      <c r="D321" s="474"/>
      <c r="E321" s="474"/>
      <c r="F321" s="82"/>
      <c r="G321" s="82"/>
      <c r="H321" s="82"/>
      <c r="I321" s="82"/>
      <c r="J321" s="71"/>
      <c r="K321" s="81"/>
      <c r="L321" s="81"/>
      <c r="M321" s="81"/>
      <c r="N321" s="81"/>
      <c r="O321" s="81"/>
      <c r="P321" s="73"/>
      <c r="S321" s="235"/>
    </row>
    <row r="322" spans="1:23" ht="12.75">
      <c r="A322" s="26">
        <v>1</v>
      </c>
      <c r="B322" s="26">
        <v>1020</v>
      </c>
      <c r="C322" s="26"/>
      <c r="D322" s="27" t="s">
        <v>22</v>
      </c>
      <c r="E322" s="27" t="s">
        <v>27</v>
      </c>
      <c r="F322" s="28">
        <v>9</v>
      </c>
      <c r="G322" s="28">
        <f>SUM(H322:I322)</f>
        <v>1</v>
      </c>
      <c r="H322" s="28">
        <v>1</v>
      </c>
      <c r="I322" s="28">
        <v>0</v>
      </c>
      <c r="J322" s="19">
        <f aca="true" t="shared" si="49" ref="J322:J328">SUM(K322:L322)</f>
        <v>76.87</v>
      </c>
      <c r="K322" s="25">
        <v>76.87</v>
      </c>
      <c r="L322" s="25"/>
      <c r="M322" s="21">
        <v>21290.1</v>
      </c>
      <c r="N322" s="22">
        <v>13925.1</v>
      </c>
      <c r="O322" s="21">
        <f aca="true" t="shared" si="50" ref="O322:O327">M322-N322</f>
        <v>7364.999999999998</v>
      </c>
      <c r="P322" s="23">
        <v>1935</v>
      </c>
      <c r="Q322" s="24" t="s">
        <v>24</v>
      </c>
      <c r="R322" s="24" t="s">
        <v>24</v>
      </c>
      <c r="S322" s="217"/>
      <c r="T322" s="211"/>
      <c r="U322" s="288">
        <v>2710</v>
      </c>
      <c r="V322" s="290">
        <f aca="true" t="shared" si="51" ref="V322:V328">U322*J322</f>
        <v>208317.7</v>
      </c>
      <c r="W322" s="211"/>
    </row>
    <row r="323" spans="1:23" ht="12.75">
      <c r="A323" s="26">
        <f>A322+1</f>
        <v>2</v>
      </c>
      <c r="B323" s="26">
        <v>1071</v>
      </c>
      <c r="C323" s="26"/>
      <c r="D323" s="27" t="s">
        <v>22</v>
      </c>
      <c r="E323" s="27" t="s">
        <v>53</v>
      </c>
      <c r="F323" s="28">
        <v>11</v>
      </c>
      <c r="G323" s="28">
        <f>SUM(H323:I323)</f>
        <v>1</v>
      </c>
      <c r="H323" s="28">
        <v>1</v>
      </c>
      <c r="I323" s="28">
        <v>0</v>
      </c>
      <c r="J323" s="19">
        <f t="shared" si="49"/>
        <v>15.24</v>
      </c>
      <c r="K323" s="25">
        <v>15.24</v>
      </c>
      <c r="L323" s="25"/>
      <c r="M323" s="21">
        <v>3367.95</v>
      </c>
      <c r="N323" s="22">
        <v>1907.93</v>
      </c>
      <c r="O323" s="21">
        <f t="shared" si="50"/>
        <v>1460.0199999999998</v>
      </c>
      <c r="P323" s="23">
        <v>1935</v>
      </c>
      <c r="Q323" s="24" t="s">
        <v>24</v>
      </c>
      <c r="R323" s="24" t="s">
        <v>24</v>
      </c>
      <c r="S323" s="217"/>
      <c r="T323" s="211"/>
      <c r="U323" s="288">
        <v>2710</v>
      </c>
      <c r="V323" s="290">
        <f t="shared" si="51"/>
        <v>41300.4</v>
      </c>
      <c r="W323" s="211"/>
    </row>
    <row r="324" spans="1:23" ht="12.75">
      <c r="A324" s="26">
        <f>A323+1</f>
        <v>3</v>
      </c>
      <c r="B324" s="50">
        <v>1108</v>
      </c>
      <c r="C324" s="50"/>
      <c r="D324" s="51" t="s">
        <v>22</v>
      </c>
      <c r="E324" s="51" t="s">
        <v>155</v>
      </c>
      <c r="F324" s="50">
        <v>17</v>
      </c>
      <c r="G324" s="28">
        <f>SUM(H324:I324)</f>
        <v>3</v>
      </c>
      <c r="H324" s="28">
        <v>3</v>
      </c>
      <c r="I324" s="28">
        <v>0</v>
      </c>
      <c r="J324" s="19">
        <f t="shared" si="49"/>
        <v>163.89</v>
      </c>
      <c r="K324" s="52">
        <v>163.89</v>
      </c>
      <c r="L324" s="52"/>
      <c r="M324" s="21">
        <v>33750.35</v>
      </c>
      <c r="N324" s="22">
        <v>18824.31</v>
      </c>
      <c r="O324" s="21">
        <f t="shared" si="50"/>
        <v>14926.039999999997</v>
      </c>
      <c r="P324" s="23">
        <v>1935</v>
      </c>
      <c r="Q324" s="24" t="s">
        <v>24</v>
      </c>
      <c r="R324" s="24" t="s">
        <v>24</v>
      </c>
      <c r="S324" s="217"/>
      <c r="T324" s="211"/>
      <c r="U324" s="288">
        <v>2710</v>
      </c>
      <c r="V324" s="290">
        <f t="shared" si="51"/>
        <v>444141.89999999997</v>
      </c>
      <c r="W324" s="211"/>
    </row>
    <row r="325" spans="1:23" ht="12.75">
      <c r="A325" s="26">
        <f>A324+1</f>
        <v>4</v>
      </c>
      <c r="B325" s="47">
        <v>3207</v>
      </c>
      <c r="C325" s="47"/>
      <c r="D325" s="48"/>
      <c r="E325" s="48" t="s">
        <v>169</v>
      </c>
      <c r="F325" s="47">
        <v>4</v>
      </c>
      <c r="G325" s="18">
        <f>SUM(H325:I325)</f>
        <v>1</v>
      </c>
      <c r="H325" s="18">
        <v>1</v>
      </c>
      <c r="I325" s="18">
        <v>0</v>
      </c>
      <c r="J325" s="19">
        <f t="shared" si="49"/>
        <v>40.7</v>
      </c>
      <c r="K325" s="49">
        <v>40.7</v>
      </c>
      <c r="L325" s="49"/>
      <c r="M325" s="21">
        <v>8691.45</v>
      </c>
      <c r="N325" s="22">
        <v>8691.45</v>
      </c>
      <c r="O325" s="21">
        <f t="shared" si="50"/>
        <v>0</v>
      </c>
      <c r="P325" s="23"/>
      <c r="Q325" s="24"/>
      <c r="R325" s="24"/>
      <c r="S325" s="217"/>
      <c r="T325" s="211"/>
      <c r="U325" s="288">
        <v>2710</v>
      </c>
      <c r="V325" s="290">
        <f t="shared" si="51"/>
        <v>110297.00000000001</v>
      </c>
      <c r="W325" s="211"/>
    </row>
    <row r="326" spans="1:23" ht="12.75">
      <c r="A326" s="26">
        <f>A325+1</f>
        <v>5</v>
      </c>
      <c r="B326" s="47">
        <v>3212</v>
      </c>
      <c r="C326" s="47"/>
      <c r="D326" s="48" t="s">
        <v>170</v>
      </c>
      <c r="E326" s="48" t="s">
        <v>171</v>
      </c>
      <c r="F326" s="47">
        <v>6</v>
      </c>
      <c r="G326" s="18">
        <v>1</v>
      </c>
      <c r="H326" s="18">
        <v>1</v>
      </c>
      <c r="I326" s="18">
        <v>0</v>
      </c>
      <c r="J326" s="19">
        <f t="shared" si="49"/>
        <v>31.2</v>
      </c>
      <c r="K326" s="52">
        <v>31.2</v>
      </c>
      <c r="L326" s="52"/>
      <c r="M326" s="21">
        <v>21361.91</v>
      </c>
      <c r="N326" s="22">
        <v>21361.91</v>
      </c>
      <c r="O326" s="21">
        <f t="shared" si="50"/>
        <v>0</v>
      </c>
      <c r="P326" s="23"/>
      <c r="Q326" s="24"/>
      <c r="R326" s="24"/>
      <c r="S326" s="217"/>
      <c r="T326" s="211"/>
      <c r="U326" s="288">
        <v>2710</v>
      </c>
      <c r="V326" s="290">
        <f t="shared" si="51"/>
        <v>84552</v>
      </c>
      <c r="W326" s="211"/>
    </row>
    <row r="327" spans="1:23" ht="12.75">
      <c r="A327" s="26">
        <f>A326+1</f>
        <v>6</v>
      </c>
      <c r="B327" s="47">
        <v>3213</v>
      </c>
      <c r="C327" s="47"/>
      <c r="D327" s="48" t="s">
        <v>78</v>
      </c>
      <c r="E327" s="48" t="s">
        <v>57</v>
      </c>
      <c r="F327" s="47">
        <v>38</v>
      </c>
      <c r="G327" s="18">
        <v>1</v>
      </c>
      <c r="H327" s="18">
        <v>1</v>
      </c>
      <c r="I327" s="18">
        <v>0</v>
      </c>
      <c r="J327" s="19">
        <f t="shared" si="49"/>
        <v>64</v>
      </c>
      <c r="K327" s="52">
        <v>64</v>
      </c>
      <c r="L327" s="52"/>
      <c r="M327" s="21">
        <v>9100</v>
      </c>
      <c r="N327" s="22">
        <v>8539.09</v>
      </c>
      <c r="O327" s="21">
        <f t="shared" si="50"/>
        <v>560.9099999999999</v>
      </c>
      <c r="P327" s="23"/>
      <c r="Q327" s="24"/>
      <c r="R327" s="24"/>
      <c r="S327" s="217"/>
      <c r="T327" s="211"/>
      <c r="U327" s="288">
        <v>2710</v>
      </c>
      <c r="V327" s="290">
        <f t="shared" si="51"/>
        <v>173440</v>
      </c>
      <c r="W327" s="211"/>
    </row>
    <row r="328" spans="1:23" ht="12.75">
      <c r="A328" s="191">
        <v>7</v>
      </c>
      <c r="B328" s="326">
        <v>3186</v>
      </c>
      <c r="C328" s="326"/>
      <c r="D328" s="327" t="s">
        <v>78</v>
      </c>
      <c r="E328" s="327" t="s">
        <v>181</v>
      </c>
      <c r="F328" s="328">
        <v>2</v>
      </c>
      <c r="G328" s="193"/>
      <c r="H328" s="193"/>
      <c r="I328" s="193"/>
      <c r="J328" s="194">
        <f t="shared" si="49"/>
        <v>152.04</v>
      </c>
      <c r="K328" s="329">
        <v>152.04</v>
      </c>
      <c r="L328" s="329"/>
      <c r="M328" s="196">
        <v>62172.73</v>
      </c>
      <c r="N328" s="197"/>
      <c r="O328" s="196"/>
      <c r="P328" s="198">
        <v>1920</v>
      </c>
      <c r="Q328" s="330" t="s">
        <v>24</v>
      </c>
      <c r="R328" s="330" t="s">
        <v>24</v>
      </c>
      <c r="S328" s="217"/>
      <c r="T328" s="211"/>
      <c r="U328" s="288">
        <v>2710</v>
      </c>
      <c r="V328" s="290">
        <f t="shared" si="51"/>
        <v>412028.39999999997</v>
      </c>
      <c r="W328" s="211"/>
    </row>
    <row r="329" spans="1:23" ht="12.75">
      <c r="A329" s="475" t="s">
        <v>172</v>
      </c>
      <c r="B329" s="475"/>
      <c r="C329" s="475"/>
      <c r="D329" s="475"/>
      <c r="E329" s="475"/>
      <c r="F329" s="83"/>
      <c r="G329" s="84">
        <f>SUM(G322:G327)</f>
        <v>8</v>
      </c>
      <c r="H329" s="28">
        <f>SUM(H322:H327)</f>
        <v>8</v>
      </c>
      <c r="I329" s="28">
        <f>SUM(I322:I324)</f>
        <v>0</v>
      </c>
      <c r="J329" s="57">
        <f>SUM(J322:J328)</f>
        <v>543.9399999999999</v>
      </c>
      <c r="K329" s="57">
        <f>SUM(K322:K328)</f>
        <v>543.9399999999999</v>
      </c>
      <c r="L329" s="57">
        <f>SUM(L322:L324)</f>
        <v>0</v>
      </c>
      <c r="M329" s="57">
        <f>SUM(M322:M328)</f>
        <v>159734.49</v>
      </c>
      <c r="N329" s="57">
        <f>SUM(N322:N327)</f>
        <v>73249.79000000001</v>
      </c>
      <c r="O329" s="57">
        <f>SUM(O322:O327)</f>
        <v>24311.969999999998</v>
      </c>
      <c r="P329" s="58"/>
      <c r="Q329" s="24"/>
      <c r="R329" s="24"/>
      <c r="S329" s="217"/>
      <c r="T329" s="211"/>
      <c r="U329" s="211"/>
      <c r="V329" s="308">
        <f>SUM(V322:V328)</f>
        <v>1474077.4</v>
      </c>
      <c r="W329" s="211"/>
    </row>
    <row r="330" spans="1:16" ht="12.75">
      <c r="A330" s="85"/>
      <c r="B330" s="86"/>
      <c r="C330" s="86"/>
      <c r="D330" s="86"/>
      <c r="E330" s="86"/>
      <c r="F330" s="86"/>
      <c r="G330" s="86"/>
      <c r="H330" s="86"/>
      <c r="I330" s="86"/>
      <c r="J330" s="64"/>
      <c r="K330" s="64"/>
      <c r="L330" s="64"/>
      <c r="M330" s="64"/>
      <c r="N330" s="64"/>
      <c r="O330" s="64"/>
      <c r="P330" s="66"/>
    </row>
    <row r="331" spans="1:16" ht="12.75">
      <c r="A331" s="85"/>
      <c r="B331" s="87"/>
      <c r="C331" s="87"/>
      <c r="D331" s="87"/>
      <c r="E331" s="87"/>
      <c r="F331" s="87"/>
      <c r="G331" s="87"/>
      <c r="H331" s="87"/>
      <c r="I331" s="87"/>
      <c r="J331" s="69"/>
      <c r="K331" s="69"/>
      <c r="L331" s="69"/>
      <c r="M331" s="69"/>
      <c r="N331" s="69"/>
      <c r="O331" s="69"/>
      <c r="P331" s="66"/>
    </row>
    <row r="332" spans="1:256" ht="12.75">
      <c r="A332" s="88"/>
      <c r="B332" s="53"/>
      <c r="C332" s="53"/>
      <c r="D332" s="53"/>
      <c r="E332" s="53"/>
      <c r="F332" s="53"/>
      <c r="G332" s="53"/>
      <c r="H332" s="53"/>
      <c r="I332" s="53"/>
      <c r="J332" s="71"/>
      <c r="K332" s="71"/>
      <c r="L332" s="71"/>
      <c r="M332" s="2"/>
      <c r="N332" s="72"/>
      <c r="O332" s="2"/>
      <c r="P332" s="73"/>
      <c r="FE332" s="53"/>
      <c r="FF332" s="53"/>
      <c r="FG332" s="53"/>
      <c r="FH332" s="53"/>
      <c r="FI332" s="53"/>
      <c r="FJ332" s="53"/>
      <c r="FK332" s="53"/>
      <c r="FL332" s="53"/>
      <c r="FM332" s="53"/>
      <c r="FN332" s="53"/>
      <c r="FO332" s="53"/>
      <c r="FP332" s="53"/>
      <c r="FQ332" s="53"/>
      <c r="FR332" s="53"/>
      <c r="FS332" s="53"/>
      <c r="FT332" s="53"/>
      <c r="FU332" s="53"/>
      <c r="FV332" s="53"/>
      <c r="FW332" s="53"/>
      <c r="FX332" s="53"/>
      <c r="FY332" s="53"/>
      <c r="FZ332" s="53"/>
      <c r="GA332" s="53"/>
      <c r="GB332" s="53"/>
      <c r="GC332" s="53"/>
      <c r="GD332" s="53"/>
      <c r="GE332" s="53"/>
      <c r="GF332" s="53"/>
      <c r="GG332" s="53"/>
      <c r="GH332" s="53"/>
      <c r="GI332" s="53"/>
      <c r="GJ332" s="53"/>
      <c r="GK332" s="53"/>
      <c r="GL332" s="53"/>
      <c r="GM332" s="53"/>
      <c r="GN332" s="53"/>
      <c r="GO332" s="53"/>
      <c r="GP332" s="53"/>
      <c r="GQ332" s="53"/>
      <c r="GR332" s="53"/>
      <c r="GS332" s="53"/>
      <c r="GT332" s="53"/>
      <c r="GU332" s="53"/>
      <c r="GV332" s="53"/>
      <c r="GW332" s="53"/>
      <c r="GX332" s="53"/>
      <c r="GY332" s="53"/>
      <c r="GZ332" s="53"/>
      <c r="HA332" s="53"/>
      <c r="HB332" s="53"/>
      <c r="HC332" s="53"/>
      <c r="HD332" s="53"/>
      <c r="HE332" s="53"/>
      <c r="HF332" s="53"/>
      <c r="HG332" s="53"/>
      <c r="HH332" s="53"/>
      <c r="HI332" s="53"/>
      <c r="HJ332" s="53"/>
      <c r="HK332" s="53"/>
      <c r="HL332" s="53"/>
      <c r="HM332" s="53"/>
      <c r="HN332" s="53"/>
      <c r="HO332" s="53"/>
      <c r="HP332" s="53"/>
      <c r="HQ332" s="53"/>
      <c r="HR332" s="53"/>
      <c r="HS332" s="53"/>
      <c r="HT332" s="53"/>
      <c r="HU332" s="53"/>
      <c r="HV332" s="53"/>
      <c r="HW332" s="53"/>
      <c r="HX332" s="53"/>
      <c r="HY332" s="53"/>
      <c r="HZ332" s="53"/>
      <c r="IA332" s="53"/>
      <c r="IB332" s="53"/>
      <c r="IC332" s="53"/>
      <c r="ID332" s="53"/>
      <c r="IE332" s="53"/>
      <c r="IF332" s="53"/>
      <c r="IG332" s="53"/>
      <c r="IH332" s="53"/>
      <c r="II332" s="53"/>
      <c r="IJ332" s="53"/>
      <c r="IK332" s="53"/>
      <c r="IL332" s="53"/>
      <c r="IM332" s="53"/>
      <c r="IN332" s="53"/>
      <c r="IO332" s="53"/>
      <c r="IP332" s="53"/>
      <c r="IQ332" s="53"/>
      <c r="IR332" s="53"/>
      <c r="IS332" s="53"/>
      <c r="IT332" s="53"/>
      <c r="IU332" s="53"/>
      <c r="IV332" s="53"/>
    </row>
    <row r="333" spans="1:256" ht="12.75">
      <c r="A333" s="476" t="s">
        <v>173</v>
      </c>
      <c r="B333" s="476"/>
      <c r="C333" s="476"/>
      <c r="D333" s="476"/>
      <c r="E333" s="476"/>
      <c r="F333" s="89"/>
      <c r="G333" s="89"/>
      <c r="H333" s="89"/>
      <c r="I333" s="89"/>
      <c r="J333" s="90"/>
      <c r="K333" s="90"/>
      <c r="L333" s="90"/>
      <c r="M333" s="91"/>
      <c r="N333" s="92"/>
      <c r="O333" s="91"/>
      <c r="P333" s="73"/>
      <c r="Q333" s="91"/>
      <c r="R333" s="91"/>
      <c r="S333" s="91"/>
      <c r="FE333" s="53"/>
      <c r="FF333" s="53"/>
      <c r="FG333" s="53"/>
      <c r="FH333" s="53"/>
      <c r="FI333" s="53"/>
      <c r="FJ333" s="53"/>
      <c r="FK333" s="53"/>
      <c r="FL333" s="53"/>
      <c r="FM333" s="53"/>
      <c r="FN333" s="53"/>
      <c r="FO333" s="53"/>
      <c r="FP333" s="53"/>
      <c r="FQ333" s="53"/>
      <c r="FR333" s="53"/>
      <c r="FS333" s="53"/>
      <c r="FT333" s="53"/>
      <c r="FU333" s="53"/>
      <c r="FV333" s="53"/>
      <c r="FW333" s="53"/>
      <c r="FX333" s="53"/>
      <c r="FY333" s="53"/>
      <c r="FZ333" s="53"/>
      <c r="GA333" s="53"/>
      <c r="GB333" s="53"/>
      <c r="GC333" s="53"/>
      <c r="GD333" s="53"/>
      <c r="GE333" s="53"/>
      <c r="GF333" s="53"/>
      <c r="GG333" s="53"/>
      <c r="GH333" s="53"/>
      <c r="GI333" s="53"/>
      <c r="GJ333" s="53"/>
      <c r="GK333" s="53"/>
      <c r="GL333" s="53"/>
      <c r="GM333" s="53"/>
      <c r="GN333" s="53"/>
      <c r="GO333" s="53"/>
      <c r="GP333" s="53"/>
      <c r="GQ333" s="53"/>
      <c r="GR333" s="53"/>
      <c r="GS333" s="53"/>
      <c r="GT333" s="53"/>
      <c r="GU333" s="53"/>
      <c r="GV333" s="53"/>
      <c r="GW333" s="53"/>
      <c r="GX333" s="53"/>
      <c r="GY333" s="53"/>
      <c r="GZ333" s="53"/>
      <c r="HA333" s="53"/>
      <c r="HB333" s="53"/>
      <c r="HC333" s="53"/>
      <c r="HD333" s="53"/>
      <c r="HE333" s="53"/>
      <c r="HF333" s="53"/>
      <c r="HG333" s="53"/>
      <c r="HH333" s="53"/>
      <c r="HI333" s="53"/>
      <c r="HJ333" s="53"/>
      <c r="HK333" s="53"/>
      <c r="HL333" s="53"/>
      <c r="HM333" s="53"/>
      <c r="HN333" s="53"/>
      <c r="HO333" s="53"/>
      <c r="HP333" s="53"/>
      <c r="HQ333" s="53"/>
      <c r="HR333" s="53"/>
      <c r="HS333" s="53"/>
      <c r="HT333" s="53"/>
      <c r="HU333" s="53"/>
      <c r="HV333" s="53"/>
      <c r="HW333" s="53"/>
      <c r="HX333" s="53"/>
      <c r="HY333" s="53"/>
      <c r="HZ333" s="53"/>
      <c r="IA333" s="53"/>
      <c r="IB333" s="53"/>
      <c r="IC333" s="53"/>
      <c r="ID333" s="53"/>
      <c r="IE333" s="53"/>
      <c r="IF333" s="53"/>
      <c r="IG333" s="53"/>
      <c r="IH333" s="53"/>
      <c r="II333" s="53"/>
      <c r="IJ333" s="53"/>
      <c r="IK333" s="53"/>
      <c r="IL333" s="53"/>
      <c r="IM333" s="53"/>
      <c r="IN333" s="53"/>
      <c r="IO333" s="53"/>
      <c r="IP333" s="53"/>
      <c r="IQ333" s="53"/>
      <c r="IR333" s="53"/>
      <c r="IS333" s="53"/>
      <c r="IT333" s="53"/>
      <c r="IU333" s="53"/>
      <c r="IV333" s="53"/>
    </row>
    <row r="334" spans="1:23" s="53" customFormat="1" ht="12.75">
      <c r="A334" s="93">
        <v>1</v>
      </c>
      <c r="B334" s="93">
        <v>6003</v>
      </c>
      <c r="C334" s="360">
        <v>164</v>
      </c>
      <c r="D334" s="94" t="s">
        <v>22</v>
      </c>
      <c r="E334" s="93" t="s">
        <v>36</v>
      </c>
      <c r="F334" s="95" t="s">
        <v>174</v>
      </c>
      <c r="G334" s="95">
        <f aca="true" t="shared" si="52" ref="G334:G354">SUM(H334:I334)</f>
        <v>10</v>
      </c>
      <c r="H334" s="95">
        <v>0</v>
      </c>
      <c r="I334" s="95">
        <v>10</v>
      </c>
      <c r="J334" s="19">
        <f aca="true" t="shared" si="53" ref="J334:J354">SUM(K334:L334)</f>
        <v>897.24</v>
      </c>
      <c r="K334" s="96">
        <v>0</v>
      </c>
      <c r="L334" s="96">
        <v>897.24</v>
      </c>
      <c r="M334" s="97">
        <v>203725.86</v>
      </c>
      <c r="N334" s="98">
        <v>203725.86</v>
      </c>
      <c r="O334" s="97">
        <f aca="true" t="shared" si="54" ref="O334:O353">M334-N334</f>
        <v>0</v>
      </c>
      <c r="P334" s="99">
        <v>1910</v>
      </c>
      <c r="Q334" s="77" t="s">
        <v>24</v>
      </c>
      <c r="R334" s="77" t="s">
        <v>24</v>
      </c>
      <c r="S334" s="237"/>
      <c r="T334" s="306"/>
      <c r="U334" s="313">
        <v>2710</v>
      </c>
      <c r="V334" s="314">
        <f>J334*U334</f>
        <v>2431520.4</v>
      </c>
      <c r="W334" s="317" t="s">
        <v>167</v>
      </c>
    </row>
    <row r="335" spans="1:256" ht="12.75">
      <c r="A335" s="26">
        <f aca="true" t="shared" si="55" ref="A335:A353">A334+1</f>
        <v>2</v>
      </c>
      <c r="B335" s="26">
        <v>6018</v>
      </c>
      <c r="C335" s="26"/>
      <c r="D335" s="27" t="s">
        <v>22</v>
      </c>
      <c r="E335" s="27" t="s">
        <v>38</v>
      </c>
      <c r="F335" s="28">
        <v>2</v>
      </c>
      <c r="G335" s="28">
        <f t="shared" si="52"/>
        <v>1</v>
      </c>
      <c r="H335" s="28">
        <v>0</v>
      </c>
      <c r="I335" s="28">
        <v>1</v>
      </c>
      <c r="J335" s="19">
        <f t="shared" si="53"/>
        <v>371.74</v>
      </c>
      <c r="K335" s="20">
        <v>0</v>
      </c>
      <c r="L335" s="20">
        <v>371.74</v>
      </c>
      <c r="M335" s="21">
        <v>115665.81</v>
      </c>
      <c r="N335" s="22">
        <v>55027.53</v>
      </c>
      <c r="O335" s="21">
        <f t="shared" si="54"/>
        <v>60638.28</v>
      </c>
      <c r="P335" s="23">
        <v>1895</v>
      </c>
      <c r="Q335" s="24" t="s">
        <v>24</v>
      </c>
      <c r="R335" s="24" t="s">
        <v>24</v>
      </c>
      <c r="S335" s="217"/>
      <c r="T335" s="211"/>
      <c r="U335" s="288">
        <v>2710</v>
      </c>
      <c r="V335" s="290">
        <f>U335*J335</f>
        <v>1007415.4</v>
      </c>
      <c r="W335" s="211"/>
      <c r="FE335" s="53"/>
      <c r="FF335" s="53"/>
      <c r="FG335" s="53"/>
      <c r="FH335" s="53"/>
      <c r="FI335" s="53"/>
      <c r="FJ335" s="53"/>
      <c r="FK335" s="53"/>
      <c r="FL335" s="53"/>
      <c r="FM335" s="53"/>
      <c r="FN335" s="53"/>
      <c r="FO335" s="53"/>
      <c r="FP335" s="53"/>
      <c r="FQ335" s="53"/>
      <c r="FR335" s="53"/>
      <c r="FS335" s="53"/>
      <c r="FT335" s="53"/>
      <c r="FU335" s="53"/>
      <c r="FV335" s="53"/>
      <c r="FW335" s="53"/>
      <c r="FX335" s="53"/>
      <c r="FY335" s="53"/>
      <c r="FZ335" s="53"/>
      <c r="GA335" s="53"/>
      <c r="GB335" s="53"/>
      <c r="GC335" s="53"/>
      <c r="GD335" s="53"/>
      <c r="GE335" s="53"/>
      <c r="GF335" s="53"/>
      <c r="GG335" s="53"/>
      <c r="GH335" s="53"/>
      <c r="GI335" s="53"/>
      <c r="GJ335" s="53"/>
      <c r="GK335" s="53"/>
      <c r="GL335" s="53"/>
      <c r="GM335" s="53"/>
      <c r="GN335" s="53"/>
      <c r="GO335" s="53"/>
      <c r="GP335" s="53"/>
      <c r="GQ335" s="53"/>
      <c r="GR335" s="53"/>
      <c r="GS335" s="53"/>
      <c r="GT335" s="53"/>
      <c r="GU335" s="53"/>
      <c r="GV335" s="53"/>
      <c r="GW335" s="53"/>
      <c r="GX335" s="53"/>
      <c r="GY335" s="53"/>
      <c r="GZ335" s="53"/>
      <c r="HA335" s="53"/>
      <c r="HB335" s="53"/>
      <c r="HC335" s="53"/>
      <c r="HD335" s="53"/>
      <c r="HE335" s="53"/>
      <c r="HF335" s="53"/>
      <c r="HG335" s="53"/>
      <c r="HH335" s="53"/>
      <c r="HI335" s="53"/>
      <c r="HJ335" s="53"/>
      <c r="HK335" s="53"/>
      <c r="HL335" s="53"/>
      <c r="HM335" s="53"/>
      <c r="HN335" s="53"/>
      <c r="HO335" s="53"/>
      <c r="HP335" s="53"/>
      <c r="HQ335" s="53"/>
      <c r="HR335" s="53"/>
      <c r="HS335" s="53"/>
      <c r="HT335" s="53"/>
      <c r="HU335" s="53"/>
      <c r="HV335" s="53"/>
      <c r="HW335" s="53"/>
      <c r="HX335" s="53"/>
      <c r="HY335" s="53"/>
      <c r="HZ335" s="53"/>
      <c r="IA335" s="53"/>
      <c r="IB335" s="53"/>
      <c r="IC335" s="53"/>
      <c r="ID335" s="53"/>
      <c r="IE335" s="53"/>
      <c r="IF335" s="53"/>
      <c r="IG335" s="53"/>
      <c r="IH335" s="53"/>
      <c r="II335" s="53"/>
      <c r="IJ335" s="53"/>
      <c r="IK335" s="53"/>
      <c r="IL335" s="53"/>
      <c r="IM335" s="53"/>
      <c r="IN335" s="53"/>
      <c r="IO335" s="53"/>
      <c r="IP335" s="53"/>
      <c r="IQ335" s="53"/>
      <c r="IR335" s="53"/>
      <c r="IS335" s="53"/>
      <c r="IT335" s="53"/>
      <c r="IU335" s="53"/>
      <c r="IV335" s="53"/>
    </row>
    <row r="336" spans="1:256" ht="12.75">
      <c r="A336" s="93">
        <f t="shared" si="55"/>
        <v>3</v>
      </c>
      <c r="B336" s="100">
        <v>6002</v>
      </c>
      <c r="C336" s="363">
        <v>181</v>
      </c>
      <c r="D336" s="100" t="s">
        <v>175</v>
      </c>
      <c r="E336" s="101" t="s">
        <v>176</v>
      </c>
      <c r="F336" s="100" t="s">
        <v>177</v>
      </c>
      <c r="G336" s="95">
        <f t="shared" si="52"/>
        <v>1</v>
      </c>
      <c r="H336" s="95">
        <v>0</v>
      </c>
      <c r="I336" s="95">
        <v>1</v>
      </c>
      <c r="J336" s="19">
        <f t="shared" si="53"/>
        <v>61.89</v>
      </c>
      <c r="K336" s="102">
        <v>0</v>
      </c>
      <c r="L336" s="102">
        <f>62.47-0.58</f>
        <v>61.89</v>
      </c>
      <c r="M336" s="97">
        <v>2844.75</v>
      </c>
      <c r="N336" s="98">
        <v>2844.75</v>
      </c>
      <c r="O336" s="97">
        <f t="shared" si="54"/>
        <v>0</v>
      </c>
      <c r="P336" s="99">
        <v>1905</v>
      </c>
      <c r="Q336" s="77" t="s">
        <v>24</v>
      </c>
      <c r="R336" s="77" t="s">
        <v>24</v>
      </c>
      <c r="S336" s="237"/>
      <c r="T336" s="263"/>
      <c r="U336" s="313">
        <v>2710</v>
      </c>
      <c r="V336" s="314">
        <f>U336*J336</f>
        <v>167721.9</v>
      </c>
      <c r="W336" s="316" t="s">
        <v>167</v>
      </c>
      <c r="FE336" s="53"/>
      <c r="FF336" s="53"/>
      <c r="FG336" s="53"/>
      <c r="FH336" s="53"/>
      <c r="FI336" s="53"/>
      <c r="FJ336" s="53"/>
      <c r="FK336" s="53"/>
      <c r="FL336" s="53"/>
      <c r="FM336" s="53"/>
      <c r="FN336" s="53"/>
      <c r="FO336" s="53"/>
      <c r="FP336" s="53"/>
      <c r="FQ336" s="53"/>
      <c r="FR336" s="53"/>
      <c r="FS336" s="53"/>
      <c r="FT336" s="53"/>
      <c r="FU336" s="53"/>
      <c r="FV336" s="53"/>
      <c r="FW336" s="53"/>
      <c r="FX336" s="53"/>
      <c r="FY336" s="53"/>
      <c r="FZ336" s="53"/>
      <c r="GA336" s="53"/>
      <c r="GB336" s="53"/>
      <c r="GC336" s="53"/>
      <c r="GD336" s="53"/>
      <c r="GE336" s="53"/>
      <c r="GF336" s="53"/>
      <c r="GG336" s="53"/>
      <c r="GH336" s="53"/>
      <c r="GI336" s="53"/>
      <c r="GJ336" s="53"/>
      <c r="GK336" s="53"/>
      <c r="GL336" s="53"/>
      <c r="GM336" s="53"/>
      <c r="GN336" s="53"/>
      <c r="GO336" s="53"/>
      <c r="GP336" s="53"/>
      <c r="GQ336" s="53"/>
      <c r="GR336" s="53"/>
      <c r="GS336" s="53"/>
      <c r="GT336" s="53"/>
      <c r="GU336" s="53"/>
      <c r="GV336" s="53"/>
      <c r="GW336" s="53"/>
      <c r="GX336" s="53"/>
      <c r="GY336" s="53"/>
      <c r="GZ336" s="53"/>
      <c r="HA336" s="53"/>
      <c r="HB336" s="53"/>
      <c r="HC336" s="53"/>
      <c r="HD336" s="53"/>
      <c r="HE336" s="53"/>
      <c r="HF336" s="53"/>
      <c r="HG336" s="53"/>
      <c r="HH336" s="53"/>
      <c r="HI336" s="53"/>
      <c r="HJ336" s="53"/>
      <c r="HK336" s="53"/>
      <c r="HL336" s="53"/>
      <c r="HM336" s="53"/>
      <c r="HN336" s="53"/>
      <c r="HO336" s="53"/>
      <c r="HP336" s="53"/>
      <c r="HQ336" s="53"/>
      <c r="HR336" s="53"/>
      <c r="HS336" s="53"/>
      <c r="HT336" s="53"/>
      <c r="HU336" s="53"/>
      <c r="HV336" s="53"/>
      <c r="HW336" s="53"/>
      <c r="HX336" s="53"/>
      <c r="HY336" s="53"/>
      <c r="HZ336" s="53"/>
      <c r="IA336" s="53"/>
      <c r="IB336" s="53"/>
      <c r="IC336" s="53"/>
      <c r="ID336" s="53"/>
      <c r="IE336" s="53"/>
      <c r="IF336" s="53"/>
      <c r="IG336" s="53"/>
      <c r="IH336" s="53"/>
      <c r="II336" s="53"/>
      <c r="IJ336" s="53"/>
      <c r="IK336" s="53"/>
      <c r="IL336" s="53"/>
      <c r="IM336" s="53"/>
      <c r="IN336" s="53"/>
      <c r="IO336" s="53"/>
      <c r="IP336" s="53"/>
      <c r="IQ336" s="53"/>
      <c r="IR336" s="53"/>
      <c r="IS336" s="53"/>
      <c r="IT336" s="53"/>
      <c r="IU336" s="53"/>
      <c r="IV336" s="53"/>
    </row>
    <row r="337" spans="1:23" ht="12.75">
      <c r="A337" s="26">
        <f t="shared" si="55"/>
        <v>4</v>
      </c>
      <c r="B337" s="26">
        <v>6017</v>
      </c>
      <c r="C337" s="26"/>
      <c r="D337" s="27" t="s">
        <v>22</v>
      </c>
      <c r="E337" s="27" t="s">
        <v>40</v>
      </c>
      <c r="F337" s="28">
        <v>5</v>
      </c>
      <c r="G337" s="28">
        <f t="shared" si="52"/>
        <v>3</v>
      </c>
      <c r="H337" s="28">
        <v>0</v>
      </c>
      <c r="I337" s="28">
        <v>3</v>
      </c>
      <c r="J337" s="19">
        <f t="shared" si="53"/>
        <v>254.64</v>
      </c>
      <c r="K337" s="20">
        <v>0</v>
      </c>
      <c r="L337" s="20">
        <v>254.64</v>
      </c>
      <c r="M337" s="21">
        <v>66974.42</v>
      </c>
      <c r="N337" s="22">
        <v>66974.42</v>
      </c>
      <c r="O337" s="21">
        <f t="shared" si="54"/>
        <v>0</v>
      </c>
      <c r="P337" s="23">
        <v>1902</v>
      </c>
      <c r="Q337" s="24" t="s">
        <v>24</v>
      </c>
      <c r="R337" s="24" t="s">
        <v>24</v>
      </c>
      <c r="S337" s="217"/>
      <c r="T337" s="211"/>
      <c r="U337" s="288">
        <v>2710</v>
      </c>
      <c r="V337" s="290">
        <f aca="true" t="shared" si="56" ref="V337:V343">U337*J337</f>
        <v>690074.3999999999</v>
      </c>
      <c r="W337" s="211"/>
    </row>
    <row r="338" spans="1:23" ht="12.75">
      <c r="A338" s="26">
        <f t="shared" si="55"/>
        <v>5</v>
      </c>
      <c r="B338" s="26">
        <v>6012</v>
      </c>
      <c r="C338" s="26"/>
      <c r="D338" s="27" t="s">
        <v>22</v>
      </c>
      <c r="E338" s="27" t="s">
        <v>178</v>
      </c>
      <c r="F338" s="28"/>
      <c r="G338" s="28">
        <f t="shared" si="52"/>
        <v>4</v>
      </c>
      <c r="H338" s="28">
        <v>0</v>
      </c>
      <c r="I338" s="28">
        <v>4</v>
      </c>
      <c r="J338" s="19">
        <f t="shared" si="53"/>
        <v>69.27</v>
      </c>
      <c r="K338" s="20">
        <v>0</v>
      </c>
      <c r="L338" s="20">
        <v>69.27</v>
      </c>
      <c r="M338" s="21">
        <v>79932.47</v>
      </c>
      <c r="N338" s="22">
        <v>30208.53</v>
      </c>
      <c r="O338" s="21">
        <f t="shared" si="54"/>
        <v>49723.94</v>
      </c>
      <c r="P338" s="23">
        <v>1978</v>
      </c>
      <c r="Q338" s="24"/>
      <c r="R338" s="24"/>
      <c r="S338" s="217"/>
      <c r="T338" s="211"/>
      <c r="U338" s="288">
        <v>2710</v>
      </c>
      <c r="V338" s="290">
        <f t="shared" si="56"/>
        <v>187721.69999999998</v>
      </c>
      <c r="W338" s="211"/>
    </row>
    <row r="339" spans="1:23" ht="12.75">
      <c r="A339" s="26">
        <f t="shared" si="55"/>
        <v>6</v>
      </c>
      <c r="B339" s="26">
        <v>6019</v>
      </c>
      <c r="C339" s="26"/>
      <c r="D339" s="27" t="s">
        <v>22</v>
      </c>
      <c r="E339" s="27" t="s">
        <v>179</v>
      </c>
      <c r="F339" s="28">
        <v>8</v>
      </c>
      <c r="G339" s="28">
        <f t="shared" si="52"/>
        <v>2</v>
      </c>
      <c r="H339" s="28">
        <v>0</v>
      </c>
      <c r="I339" s="28">
        <v>2</v>
      </c>
      <c r="J339" s="19">
        <f t="shared" si="53"/>
        <v>415.78</v>
      </c>
      <c r="K339" s="20">
        <v>0</v>
      </c>
      <c r="L339" s="20">
        <v>415.78</v>
      </c>
      <c r="M339" s="21">
        <v>298022.2</v>
      </c>
      <c r="N339" s="22">
        <v>36662.91</v>
      </c>
      <c r="O339" s="21">
        <f t="shared" si="54"/>
        <v>261359.29</v>
      </c>
      <c r="P339" s="23">
        <v>1900</v>
      </c>
      <c r="Q339" s="24" t="s">
        <v>24</v>
      </c>
      <c r="R339" s="24" t="s">
        <v>24</v>
      </c>
      <c r="S339" s="217"/>
      <c r="T339" s="211"/>
      <c r="U339" s="286">
        <v>2710</v>
      </c>
      <c r="V339" s="290">
        <f t="shared" si="56"/>
        <v>1126763.7999999998</v>
      </c>
      <c r="W339" s="211"/>
    </row>
    <row r="340" spans="1:23" ht="12.75">
      <c r="A340" s="26">
        <f t="shared" si="55"/>
        <v>7</v>
      </c>
      <c r="B340" s="28">
        <v>6027</v>
      </c>
      <c r="C340" s="28"/>
      <c r="D340" s="27" t="s">
        <v>22</v>
      </c>
      <c r="E340" s="27" t="s">
        <v>64</v>
      </c>
      <c r="F340" s="28">
        <v>83</v>
      </c>
      <c r="G340" s="28">
        <f t="shared" si="52"/>
        <v>1</v>
      </c>
      <c r="H340" s="28">
        <v>0</v>
      </c>
      <c r="I340" s="28">
        <v>1</v>
      </c>
      <c r="J340" s="19">
        <f t="shared" si="53"/>
        <v>937.49</v>
      </c>
      <c r="K340" s="20">
        <v>0</v>
      </c>
      <c r="L340" s="20">
        <v>937.49</v>
      </c>
      <c r="M340" s="21">
        <v>23272.96</v>
      </c>
      <c r="N340" s="22">
        <v>23272.96</v>
      </c>
      <c r="O340" s="21">
        <f t="shared" si="54"/>
        <v>0</v>
      </c>
      <c r="P340" s="23">
        <v>1900</v>
      </c>
      <c r="Q340" s="24" t="s">
        <v>24</v>
      </c>
      <c r="R340" s="24" t="s">
        <v>24</v>
      </c>
      <c r="S340" s="217"/>
      <c r="T340" s="211"/>
      <c r="U340" s="288">
        <v>2710</v>
      </c>
      <c r="V340" s="290">
        <f t="shared" si="56"/>
        <v>2540597.9</v>
      </c>
      <c r="W340" s="211"/>
    </row>
    <row r="341" spans="1:23" ht="12.75">
      <c r="A341" s="248">
        <f t="shared" si="55"/>
        <v>8</v>
      </c>
      <c r="B341" s="252">
        <v>6032</v>
      </c>
      <c r="C341" s="252"/>
      <c r="D341" s="242" t="s">
        <v>175</v>
      </c>
      <c r="E341" s="242" t="s">
        <v>180</v>
      </c>
      <c r="F341" s="252">
        <v>6</v>
      </c>
      <c r="G341" s="252">
        <f t="shared" si="52"/>
        <v>1</v>
      </c>
      <c r="H341" s="252">
        <v>0</v>
      </c>
      <c r="I341" s="252">
        <v>1</v>
      </c>
      <c r="J341" s="19">
        <f t="shared" si="53"/>
        <v>247.05</v>
      </c>
      <c r="K341" s="249"/>
      <c r="L341" s="249">
        <v>247.05</v>
      </c>
      <c r="M341" s="243">
        <v>133554</v>
      </c>
      <c r="N341" s="244">
        <v>46998.56</v>
      </c>
      <c r="O341" s="243">
        <f t="shared" si="54"/>
        <v>86555.44</v>
      </c>
      <c r="P341" s="245"/>
      <c r="Q341" s="253"/>
      <c r="R341" s="253"/>
      <c r="S341" s="254"/>
      <c r="T341" s="211"/>
      <c r="U341" s="288">
        <v>2710</v>
      </c>
      <c r="V341" s="290">
        <f t="shared" si="56"/>
        <v>669505.5</v>
      </c>
      <c r="W341" s="211"/>
    </row>
    <row r="342" spans="1:23" ht="12.75">
      <c r="A342" s="26">
        <f t="shared" si="55"/>
        <v>9</v>
      </c>
      <c r="B342" s="28">
        <v>6004</v>
      </c>
      <c r="C342" s="28"/>
      <c r="D342" s="27" t="s">
        <v>66</v>
      </c>
      <c r="E342" s="27" t="s">
        <v>71</v>
      </c>
      <c r="F342" s="28">
        <v>40</v>
      </c>
      <c r="G342" s="28">
        <f t="shared" si="52"/>
        <v>3</v>
      </c>
      <c r="H342" s="28">
        <v>0</v>
      </c>
      <c r="I342" s="28">
        <v>3</v>
      </c>
      <c r="J342" s="19">
        <f t="shared" si="53"/>
        <v>119.39</v>
      </c>
      <c r="K342" s="25">
        <v>0</v>
      </c>
      <c r="L342" s="25">
        <f>117.98+1.41</f>
        <v>119.39</v>
      </c>
      <c r="M342" s="21">
        <v>37893.09</v>
      </c>
      <c r="N342" s="22">
        <v>33392.44</v>
      </c>
      <c r="O342" s="21">
        <f t="shared" si="54"/>
        <v>4500.649999999994</v>
      </c>
      <c r="P342" s="23">
        <v>1998</v>
      </c>
      <c r="Q342" s="24" t="s">
        <v>24</v>
      </c>
      <c r="R342" s="24" t="s">
        <v>24</v>
      </c>
      <c r="S342" s="217"/>
      <c r="T342" s="211"/>
      <c r="U342" s="288">
        <v>2710</v>
      </c>
      <c r="V342" s="290">
        <f t="shared" si="56"/>
        <v>323546.9</v>
      </c>
      <c r="W342" s="211"/>
    </row>
    <row r="343" spans="1:23" ht="12.75">
      <c r="A343" s="103">
        <f t="shared" si="55"/>
        <v>10</v>
      </c>
      <c r="B343" s="104">
        <v>6006</v>
      </c>
      <c r="C343" s="359">
        <v>188</v>
      </c>
      <c r="D343" s="105" t="s">
        <v>78</v>
      </c>
      <c r="E343" s="105" t="s">
        <v>81</v>
      </c>
      <c r="F343" s="104">
        <v>11</v>
      </c>
      <c r="G343" s="104">
        <f t="shared" si="52"/>
        <v>6</v>
      </c>
      <c r="H343" s="104">
        <v>2</v>
      </c>
      <c r="I343" s="104">
        <f>2+2</f>
        <v>4</v>
      </c>
      <c r="J343" s="19">
        <f t="shared" si="53"/>
        <v>435.94</v>
      </c>
      <c r="K343" s="96">
        <v>120</v>
      </c>
      <c r="L343" s="96">
        <f>316.98-1.04</f>
        <v>315.94</v>
      </c>
      <c r="M343" s="106">
        <v>3435.94</v>
      </c>
      <c r="N343" s="107">
        <v>3035.39</v>
      </c>
      <c r="O343" s="106">
        <f t="shared" si="54"/>
        <v>400.5500000000002</v>
      </c>
      <c r="P343" s="108">
        <v>1910</v>
      </c>
      <c r="Q343" s="109" t="s">
        <v>24</v>
      </c>
      <c r="R343" s="109" t="s">
        <v>24</v>
      </c>
      <c r="S343" s="238"/>
      <c r="T343" s="263"/>
      <c r="U343" s="315">
        <v>2710</v>
      </c>
      <c r="V343" s="263">
        <f t="shared" si="56"/>
        <v>1181397.4</v>
      </c>
      <c r="W343" s="316" t="s">
        <v>167</v>
      </c>
    </row>
    <row r="344" spans="1:23" ht="12.75">
      <c r="A344" s="26">
        <f t="shared" si="55"/>
        <v>11</v>
      </c>
      <c r="B344" s="110">
        <v>6008</v>
      </c>
      <c r="C344" s="110"/>
      <c r="D344" s="27" t="s">
        <v>78</v>
      </c>
      <c r="E344" s="27" t="s">
        <v>181</v>
      </c>
      <c r="F344" s="28">
        <v>7</v>
      </c>
      <c r="G344" s="28">
        <f t="shared" si="52"/>
        <v>9</v>
      </c>
      <c r="H344" s="28">
        <v>4</v>
      </c>
      <c r="I344" s="28">
        <v>5</v>
      </c>
      <c r="J344" s="19">
        <f t="shared" si="53"/>
        <v>485.21</v>
      </c>
      <c r="K344" s="25">
        <v>194.63</v>
      </c>
      <c r="L344" s="25">
        <v>290.58</v>
      </c>
      <c r="M344" s="21">
        <v>50643.8</v>
      </c>
      <c r="N344" s="22">
        <v>18525.35</v>
      </c>
      <c r="O344" s="21">
        <f t="shared" si="54"/>
        <v>32118.450000000004</v>
      </c>
      <c r="P344" s="23">
        <v>1920</v>
      </c>
      <c r="Q344" s="24"/>
      <c r="R344" s="24"/>
      <c r="S344" s="217"/>
      <c r="T344" s="211"/>
      <c r="U344" s="288">
        <v>2710</v>
      </c>
      <c r="V344" s="290">
        <f>U344*J344</f>
        <v>1314919.0999999999</v>
      </c>
      <c r="W344" s="211"/>
    </row>
    <row r="345" spans="1:23" ht="12.75">
      <c r="A345" s="93">
        <f t="shared" si="55"/>
        <v>12</v>
      </c>
      <c r="B345" s="93">
        <v>6014</v>
      </c>
      <c r="C345" s="360">
        <v>111</v>
      </c>
      <c r="D345" s="94" t="s">
        <v>22</v>
      </c>
      <c r="E345" s="94" t="s">
        <v>26</v>
      </c>
      <c r="F345" s="95">
        <v>18</v>
      </c>
      <c r="G345" s="95">
        <f t="shared" si="52"/>
        <v>5</v>
      </c>
      <c r="H345" s="95">
        <v>0</v>
      </c>
      <c r="I345" s="95">
        <v>5</v>
      </c>
      <c r="J345" s="19">
        <f t="shared" si="53"/>
        <v>2352.2</v>
      </c>
      <c r="K345" s="96">
        <v>0</v>
      </c>
      <c r="L345" s="96">
        <v>2352.2</v>
      </c>
      <c r="M345" s="97">
        <v>264782.26</v>
      </c>
      <c r="N345" s="98">
        <v>111721.54</v>
      </c>
      <c r="O345" s="97">
        <f t="shared" si="54"/>
        <v>153060.72000000003</v>
      </c>
      <c r="P345" s="99">
        <v>1968</v>
      </c>
      <c r="Q345" s="111"/>
      <c r="R345" s="77"/>
      <c r="S345" s="237"/>
      <c r="T345" s="263"/>
      <c r="U345" s="318">
        <v>2710</v>
      </c>
      <c r="V345" s="263">
        <f>U345*J345</f>
        <v>6374461.999999999</v>
      </c>
      <c r="W345" s="316" t="s">
        <v>276</v>
      </c>
    </row>
    <row r="346" spans="1:23" ht="12.75">
      <c r="A346" s="93">
        <f t="shared" si="55"/>
        <v>13</v>
      </c>
      <c r="B346" s="95">
        <v>6005</v>
      </c>
      <c r="C346" s="361">
        <v>90</v>
      </c>
      <c r="D346" s="94" t="s">
        <v>22</v>
      </c>
      <c r="E346" s="94" t="s">
        <v>182</v>
      </c>
      <c r="F346" s="95">
        <v>1</v>
      </c>
      <c r="G346" s="95">
        <f t="shared" si="52"/>
        <v>5</v>
      </c>
      <c r="H346" s="95">
        <v>0</v>
      </c>
      <c r="I346" s="95">
        <v>5</v>
      </c>
      <c r="J346" s="19">
        <f t="shared" si="53"/>
        <v>752.13</v>
      </c>
      <c r="K346" s="96">
        <v>0</v>
      </c>
      <c r="L346" s="96">
        <v>752.13</v>
      </c>
      <c r="M346" s="97">
        <v>109496.36</v>
      </c>
      <c r="N346" s="98">
        <v>63186.61</v>
      </c>
      <c r="O346" s="97">
        <f t="shared" si="54"/>
        <v>46309.75</v>
      </c>
      <c r="P346" s="99">
        <v>1973</v>
      </c>
      <c r="Q346" s="111"/>
      <c r="R346" s="77"/>
      <c r="S346" s="237"/>
      <c r="T346" s="263"/>
      <c r="U346" s="318">
        <v>2710</v>
      </c>
      <c r="V346" s="263">
        <f>U346*J346</f>
        <v>2038272.3</v>
      </c>
      <c r="W346" s="316" t="s">
        <v>276</v>
      </c>
    </row>
    <row r="347" spans="1:23" ht="12.75">
      <c r="A347" s="93">
        <f t="shared" si="55"/>
        <v>14</v>
      </c>
      <c r="B347" s="112">
        <v>6020</v>
      </c>
      <c r="C347" s="362">
        <v>68</v>
      </c>
      <c r="D347" s="113" t="s">
        <v>22</v>
      </c>
      <c r="E347" s="113" t="s">
        <v>152</v>
      </c>
      <c r="F347" s="112" t="s">
        <v>183</v>
      </c>
      <c r="G347" s="95">
        <f t="shared" si="52"/>
        <v>5</v>
      </c>
      <c r="H347" s="95">
        <v>0</v>
      </c>
      <c r="I347" s="95">
        <v>5</v>
      </c>
      <c r="J347" s="19">
        <f t="shared" si="53"/>
        <v>269.34</v>
      </c>
      <c r="K347" s="114">
        <v>0</v>
      </c>
      <c r="L347" s="114">
        <v>269.34</v>
      </c>
      <c r="M347" s="97">
        <v>14114.52</v>
      </c>
      <c r="N347" s="98">
        <v>6921.92</v>
      </c>
      <c r="O347" s="97">
        <f t="shared" si="54"/>
        <v>7192.6</v>
      </c>
      <c r="P347" s="99">
        <v>1973</v>
      </c>
      <c r="Q347" s="111"/>
      <c r="R347" s="77"/>
      <c r="S347" s="237"/>
      <c r="T347" s="263"/>
      <c r="U347" s="318">
        <v>2710</v>
      </c>
      <c r="V347" s="263">
        <f>U347*J347</f>
        <v>729911.3999999999</v>
      </c>
      <c r="W347" s="211"/>
    </row>
    <row r="348" spans="1:23" ht="12.75">
      <c r="A348" s="26">
        <f t="shared" si="55"/>
        <v>15</v>
      </c>
      <c r="B348" s="16">
        <v>6030</v>
      </c>
      <c r="C348" s="16"/>
      <c r="D348" s="115" t="s">
        <v>22</v>
      </c>
      <c r="E348" s="115" t="s">
        <v>184</v>
      </c>
      <c r="F348" s="115"/>
      <c r="G348" s="28">
        <f t="shared" si="52"/>
        <v>0</v>
      </c>
      <c r="H348" s="28">
        <v>0</v>
      </c>
      <c r="I348" s="28">
        <v>0</v>
      </c>
      <c r="J348" s="19">
        <f t="shared" si="53"/>
        <v>0</v>
      </c>
      <c r="K348" s="24"/>
      <c r="L348" s="24"/>
      <c r="M348" s="21">
        <v>269740.15</v>
      </c>
      <c r="N348" s="22">
        <v>242765.64</v>
      </c>
      <c r="O348" s="21">
        <f t="shared" si="54"/>
        <v>26974.51000000001</v>
      </c>
      <c r="P348" s="23"/>
      <c r="Q348" s="24"/>
      <c r="R348" s="24"/>
      <c r="S348" s="217"/>
      <c r="T348" s="211"/>
      <c r="U348" s="211"/>
      <c r="V348" s="211"/>
      <c r="W348" s="211"/>
    </row>
    <row r="349" spans="1:23" ht="12.75">
      <c r="A349" s="26">
        <f t="shared" si="55"/>
        <v>16</v>
      </c>
      <c r="B349" s="16">
        <v>5007</v>
      </c>
      <c r="C349" s="16"/>
      <c r="D349" s="115" t="s">
        <v>22</v>
      </c>
      <c r="E349" s="115" t="s">
        <v>185</v>
      </c>
      <c r="F349" s="16">
        <v>40</v>
      </c>
      <c r="G349" s="28">
        <f t="shared" si="52"/>
        <v>3</v>
      </c>
      <c r="H349" s="28">
        <v>0</v>
      </c>
      <c r="I349" s="28">
        <v>3</v>
      </c>
      <c r="J349" s="19">
        <f t="shared" si="53"/>
        <v>0</v>
      </c>
      <c r="K349" s="24"/>
      <c r="L349" s="24"/>
      <c r="M349" s="21">
        <v>17041.99</v>
      </c>
      <c r="N349" s="22">
        <v>15017.81</v>
      </c>
      <c r="O349" s="21">
        <f t="shared" si="54"/>
        <v>2024.180000000002</v>
      </c>
      <c r="P349" s="23"/>
      <c r="Q349" s="24"/>
      <c r="R349" s="24"/>
      <c r="S349" s="217"/>
      <c r="T349" s="211"/>
      <c r="U349" s="211"/>
      <c r="V349" s="211"/>
      <c r="W349" s="211"/>
    </row>
    <row r="350" spans="1:23" ht="12.75">
      <c r="A350" s="26">
        <f t="shared" si="55"/>
        <v>17</v>
      </c>
      <c r="B350" s="16">
        <v>5003</v>
      </c>
      <c r="C350" s="16"/>
      <c r="D350" s="115" t="s">
        <v>175</v>
      </c>
      <c r="E350" s="115" t="s">
        <v>186</v>
      </c>
      <c r="F350" s="16">
        <v>12</v>
      </c>
      <c r="G350" s="28">
        <f t="shared" si="52"/>
        <v>48</v>
      </c>
      <c r="H350" s="28">
        <v>3</v>
      </c>
      <c r="I350" s="28">
        <v>45</v>
      </c>
      <c r="J350" s="19">
        <f t="shared" si="53"/>
        <v>0</v>
      </c>
      <c r="K350" s="24"/>
      <c r="L350" s="24"/>
      <c r="M350" s="21">
        <v>912.67</v>
      </c>
      <c r="N350" s="22">
        <v>417.2</v>
      </c>
      <c r="O350" s="21">
        <f t="shared" si="54"/>
        <v>495.46999999999997</v>
      </c>
      <c r="P350" s="23"/>
      <c r="Q350" s="24"/>
      <c r="R350" s="24"/>
      <c r="S350" s="217"/>
      <c r="T350" s="211"/>
      <c r="U350" s="211"/>
      <c r="V350" s="211"/>
      <c r="W350" s="211"/>
    </row>
    <row r="351" spans="1:23" ht="12.75">
      <c r="A351" s="26">
        <f t="shared" si="55"/>
        <v>18</v>
      </c>
      <c r="B351" s="16">
        <v>5004</v>
      </c>
      <c r="C351" s="16"/>
      <c r="D351" s="115" t="s">
        <v>175</v>
      </c>
      <c r="E351" s="115" t="s">
        <v>187</v>
      </c>
      <c r="F351" s="16">
        <v>2</v>
      </c>
      <c r="G351" s="28">
        <f t="shared" si="52"/>
        <v>0</v>
      </c>
      <c r="H351" s="28">
        <v>0</v>
      </c>
      <c r="I351" s="28">
        <v>0</v>
      </c>
      <c r="J351" s="19">
        <f t="shared" si="53"/>
        <v>0</v>
      </c>
      <c r="K351" s="24"/>
      <c r="L351" s="24"/>
      <c r="M351" s="21">
        <v>1103.33</v>
      </c>
      <c r="N351" s="22">
        <v>504.88</v>
      </c>
      <c r="O351" s="21">
        <f t="shared" si="54"/>
        <v>598.4499999999999</v>
      </c>
      <c r="P351" s="23"/>
      <c r="Q351" s="24"/>
      <c r="R351" s="24"/>
      <c r="S351" s="217"/>
      <c r="T351" s="211"/>
      <c r="U351" s="211"/>
      <c r="V351" s="211"/>
      <c r="W351" s="211"/>
    </row>
    <row r="352" spans="1:23" ht="12.75">
      <c r="A352" s="26">
        <f t="shared" si="55"/>
        <v>19</v>
      </c>
      <c r="B352" s="16">
        <v>5005</v>
      </c>
      <c r="C352" s="16"/>
      <c r="D352" s="115" t="s">
        <v>175</v>
      </c>
      <c r="E352" s="115" t="s">
        <v>186</v>
      </c>
      <c r="F352" s="16">
        <v>12</v>
      </c>
      <c r="G352" s="28">
        <f t="shared" si="52"/>
        <v>0</v>
      </c>
      <c r="H352" s="28">
        <v>0</v>
      </c>
      <c r="I352" s="28">
        <v>0</v>
      </c>
      <c r="J352" s="19">
        <f t="shared" si="53"/>
        <v>0</v>
      </c>
      <c r="K352" s="24"/>
      <c r="L352" s="24"/>
      <c r="M352" s="21">
        <v>1460.27</v>
      </c>
      <c r="N352" s="22">
        <v>667</v>
      </c>
      <c r="O352" s="21">
        <f t="shared" si="54"/>
        <v>793.27</v>
      </c>
      <c r="P352" s="23"/>
      <c r="Q352" s="24"/>
      <c r="R352" s="24"/>
      <c r="S352" s="217"/>
      <c r="T352" s="211"/>
      <c r="U352" s="211"/>
      <c r="V352" s="211"/>
      <c r="W352" s="211"/>
    </row>
    <row r="353" spans="1:23" ht="12.75">
      <c r="A353" s="26">
        <f t="shared" si="55"/>
        <v>20</v>
      </c>
      <c r="B353" s="16">
        <v>5006</v>
      </c>
      <c r="C353" s="16"/>
      <c r="D353" s="115" t="s">
        <v>188</v>
      </c>
      <c r="E353" s="115" t="s">
        <v>189</v>
      </c>
      <c r="F353" s="16">
        <v>16</v>
      </c>
      <c r="G353" s="28">
        <f t="shared" si="52"/>
        <v>0</v>
      </c>
      <c r="H353" s="28">
        <v>0</v>
      </c>
      <c r="I353" s="28">
        <v>0</v>
      </c>
      <c r="J353" s="19">
        <f t="shared" si="53"/>
        <v>0</v>
      </c>
      <c r="K353" s="24"/>
      <c r="L353" s="24"/>
      <c r="M353" s="21">
        <v>2633.74</v>
      </c>
      <c r="N353" s="22">
        <v>1204.32</v>
      </c>
      <c r="O353" s="21">
        <f t="shared" si="54"/>
        <v>1429.4199999999998</v>
      </c>
      <c r="P353" s="23"/>
      <c r="Q353" s="24"/>
      <c r="R353" s="24"/>
      <c r="S353" s="217"/>
      <c r="T353" s="211"/>
      <c r="U353" s="211"/>
      <c r="V353" s="211"/>
      <c r="W353" s="211"/>
    </row>
    <row r="354" spans="1:23" ht="24.75" customHeight="1">
      <c r="A354" s="26"/>
      <c r="B354" s="16"/>
      <c r="C354" s="16"/>
      <c r="D354" s="115"/>
      <c r="E354" s="115"/>
      <c r="F354" s="16"/>
      <c r="G354" s="28">
        <f t="shared" si="52"/>
        <v>0</v>
      </c>
      <c r="H354" s="16"/>
      <c r="I354" s="16"/>
      <c r="J354" s="19">
        <f t="shared" si="53"/>
        <v>0</v>
      </c>
      <c r="K354" s="24"/>
      <c r="L354" s="24"/>
      <c r="M354" s="57">
        <f>SUM(M348:M353)</f>
        <v>292892.15</v>
      </c>
      <c r="N354" s="22"/>
      <c r="O354" s="21"/>
      <c r="P354" s="23"/>
      <c r="Q354" s="24"/>
      <c r="R354" s="24"/>
      <c r="S354" s="217"/>
      <c r="T354" s="211"/>
      <c r="U354" s="211"/>
      <c r="V354" s="319">
        <f>SUM(V334+V336+V343+V345+V346+V347)</f>
        <v>12923285.4</v>
      </c>
      <c r="W354" s="219" t="s">
        <v>278</v>
      </c>
    </row>
    <row r="355" spans="1:23" ht="18.75" customHeight="1">
      <c r="A355" s="473" t="s">
        <v>190</v>
      </c>
      <c r="B355" s="473"/>
      <c r="C355" s="473"/>
      <c r="D355" s="473"/>
      <c r="E355" s="473"/>
      <c r="F355" s="116"/>
      <c r="G355" s="117">
        <f>SUM(G334:G347)</f>
        <v>56</v>
      </c>
      <c r="H355" s="117">
        <f>SUM(H334:H347)</f>
        <v>6</v>
      </c>
      <c r="I355" s="117">
        <f>SUM(I334:I347)</f>
        <v>50</v>
      </c>
      <c r="J355" s="57">
        <f>SUM(J334:J353)</f>
        <v>7669.31</v>
      </c>
      <c r="K355" s="57">
        <f>SUM(K334:K353)</f>
        <v>314.63</v>
      </c>
      <c r="L355" s="57">
        <f>SUM(L334:L353)</f>
        <v>7354.68</v>
      </c>
      <c r="M355" s="57">
        <f>SUM(M334:M353)</f>
        <v>1697250.5900000003</v>
      </c>
      <c r="N355" s="57">
        <f>SUM(N334:N354)</f>
        <v>963075.62</v>
      </c>
      <c r="O355" s="57">
        <f>M355-N355</f>
        <v>734174.9700000003</v>
      </c>
      <c r="P355" s="58"/>
      <c r="Q355" s="24"/>
      <c r="R355" s="24"/>
      <c r="S355" s="217"/>
      <c r="T355" s="211"/>
      <c r="U355" s="211"/>
      <c r="V355" s="309">
        <f>SUM(V335+V337+V338+V339+V340+V341+V342+V344)</f>
        <v>7860544.699999999</v>
      </c>
      <c r="W355" s="211" t="s">
        <v>277</v>
      </c>
    </row>
    <row r="356" spans="1:19" ht="12.75">
      <c r="A356" s="118" t="s">
        <v>191</v>
      </c>
      <c r="B356" s="119"/>
      <c r="C356" s="119"/>
      <c r="D356" s="118"/>
      <c r="E356" s="118"/>
      <c r="F356" s="63"/>
      <c r="G356" s="63"/>
      <c r="H356" s="63"/>
      <c r="I356" s="63"/>
      <c r="J356" s="63"/>
      <c r="K356" s="63"/>
      <c r="L356" s="63"/>
      <c r="M356" s="63"/>
      <c r="N356" s="120"/>
      <c r="O356" s="63"/>
      <c r="P356" s="73"/>
      <c r="Q356" s="63"/>
      <c r="R356" s="63"/>
      <c r="S356" s="239"/>
    </row>
    <row r="357" spans="1:19" ht="12.75">
      <c r="A357" s="2"/>
      <c r="B357" s="2"/>
      <c r="C357" s="2"/>
      <c r="D357" s="2"/>
      <c r="E357" s="2"/>
      <c r="F357" s="68"/>
      <c r="G357" s="2"/>
      <c r="H357" s="2"/>
      <c r="I357" s="2"/>
      <c r="J357" s="2"/>
      <c r="K357" s="2"/>
      <c r="L357" s="2"/>
      <c r="M357" s="2"/>
      <c r="N357" s="72"/>
      <c r="O357" s="2"/>
      <c r="P357" s="73"/>
      <c r="S357" s="235"/>
    </row>
    <row r="358" spans="1:23" ht="12.75">
      <c r="A358" s="18">
        <v>1</v>
      </c>
      <c r="B358" s="16">
        <v>4001</v>
      </c>
      <c r="C358" s="16"/>
      <c r="D358" s="17" t="s">
        <v>22</v>
      </c>
      <c r="E358" s="295" t="s">
        <v>192</v>
      </c>
      <c r="F358" s="301"/>
      <c r="G358" s="301"/>
      <c r="H358" s="301"/>
      <c r="I358" s="301"/>
      <c r="J358" s="297">
        <v>313.7</v>
      </c>
      <c r="K358" s="211"/>
      <c r="L358" s="211"/>
      <c r="M358" s="322">
        <v>1054.02</v>
      </c>
      <c r="N358" s="302"/>
      <c r="O358" s="211"/>
      <c r="P358" s="303"/>
      <c r="Q358" s="211"/>
      <c r="R358" s="211"/>
      <c r="S358" s="284"/>
      <c r="T358" s="211"/>
      <c r="U358" s="211"/>
      <c r="V358" s="211"/>
      <c r="W358" s="211"/>
    </row>
    <row r="359" spans="1:23" ht="12.75">
      <c r="A359" s="18">
        <v>2</v>
      </c>
      <c r="B359" s="16">
        <v>4002</v>
      </c>
      <c r="C359" s="16"/>
      <c r="D359" s="17" t="s">
        <v>22</v>
      </c>
      <c r="E359" s="115" t="s">
        <v>193</v>
      </c>
      <c r="F359" s="296"/>
      <c r="G359" s="296"/>
      <c r="H359" s="296"/>
      <c r="I359" s="296"/>
      <c r="J359" s="121">
        <v>651.8</v>
      </c>
      <c r="K359" s="298"/>
      <c r="L359" s="298"/>
      <c r="M359" s="143">
        <v>42310.56</v>
      </c>
      <c r="N359" s="299">
        <v>452.94</v>
      </c>
      <c r="O359" s="143">
        <f aca="true" t="shared" si="57" ref="O359:O364">M358-N359</f>
        <v>601.0799999999999</v>
      </c>
      <c r="P359" s="300"/>
      <c r="Q359" s="298"/>
      <c r="R359" s="298"/>
      <c r="S359" s="259"/>
      <c r="T359" s="211"/>
      <c r="U359" s="286">
        <v>1000</v>
      </c>
      <c r="V359" s="290">
        <f>U359*J359</f>
        <v>651800</v>
      </c>
      <c r="W359" s="211"/>
    </row>
    <row r="360" spans="1:23" ht="12.75">
      <c r="A360" s="18">
        <v>3</v>
      </c>
      <c r="B360" s="16">
        <v>4003</v>
      </c>
      <c r="C360" s="16"/>
      <c r="D360" s="17" t="s">
        <v>22</v>
      </c>
      <c r="E360" s="115" t="s">
        <v>194</v>
      </c>
      <c r="F360" s="115"/>
      <c r="G360" s="115"/>
      <c r="H360" s="115"/>
      <c r="I360" s="115"/>
      <c r="J360" s="121">
        <v>12.12</v>
      </c>
      <c r="K360" s="24"/>
      <c r="L360" s="24"/>
      <c r="M360" s="21">
        <v>6087.49</v>
      </c>
      <c r="N360" s="22">
        <v>21152.04</v>
      </c>
      <c r="O360" s="21">
        <f t="shared" si="57"/>
        <v>21158.519999999997</v>
      </c>
      <c r="P360" s="23"/>
      <c r="Q360" s="24"/>
      <c r="R360" s="24"/>
      <c r="S360" s="217"/>
      <c r="T360" s="211"/>
      <c r="U360" s="286"/>
      <c r="V360" s="290"/>
      <c r="W360" s="211"/>
    </row>
    <row r="361" spans="1:23" ht="12.75">
      <c r="A361" s="18">
        <v>4</v>
      </c>
      <c r="B361" s="16">
        <v>4004</v>
      </c>
      <c r="C361" s="16"/>
      <c r="D361" s="17" t="s">
        <v>22</v>
      </c>
      <c r="E361" s="115" t="s">
        <v>195</v>
      </c>
      <c r="F361" s="115"/>
      <c r="G361" s="115"/>
      <c r="H361" s="115"/>
      <c r="I361" s="115"/>
      <c r="J361" s="121">
        <v>188</v>
      </c>
      <c r="K361" s="24"/>
      <c r="L361" s="24"/>
      <c r="M361" s="21">
        <v>7774.28</v>
      </c>
      <c r="N361" s="22">
        <v>2321.88</v>
      </c>
      <c r="O361" s="21">
        <f t="shared" si="57"/>
        <v>3765.6099999999997</v>
      </c>
      <c r="P361" s="23"/>
      <c r="Q361" s="24"/>
      <c r="R361" s="24"/>
      <c r="S361" s="217"/>
      <c r="T361" s="211"/>
      <c r="U361" s="286"/>
      <c r="V361" s="290"/>
      <c r="W361" s="211"/>
    </row>
    <row r="362" spans="1:23" ht="12.75">
      <c r="A362" s="18">
        <v>5</v>
      </c>
      <c r="B362" s="16">
        <v>6031</v>
      </c>
      <c r="C362" s="16"/>
      <c r="D362" s="115" t="s">
        <v>22</v>
      </c>
      <c r="E362" s="115" t="s">
        <v>196</v>
      </c>
      <c r="F362" s="115"/>
      <c r="G362" s="115"/>
      <c r="H362" s="115"/>
      <c r="I362" s="115"/>
      <c r="J362" s="121">
        <v>19.35</v>
      </c>
      <c r="K362" s="24"/>
      <c r="L362" s="24"/>
      <c r="M362" s="21">
        <v>2306.08</v>
      </c>
      <c r="N362" s="22">
        <v>3339.38</v>
      </c>
      <c r="O362" s="21">
        <f t="shared" si="57"/>
        <v>4434.9</v>
      </c>
      <c r="P362" s="23"/>
      <c r="Q362" s="24"/>
      <c r="R362" s="24"/>
      <c r="S362" s="217"/>
      <c r="T362" s="211"/>
      <c r="U362" s="286">
        <v>2000</v>
      </c>
      <c r="V362" s="290">
        <f>U362*J362</f>
        <v>38700</v>
      </c>
      <c r="W362" s="211"/>
    </row>
    <row r="363" spans="1:23" ht="12.75">
      <c r="A363" s="18">
        <v>6</v>
      </c>
      <c r="B363" s="122" t="s">
        <v>197</v>
      </c>
      <c r="C363" s="122"/>
      <c r="D363" s="115" t="s">
        <v>175</v>
      </c>
      <c r="E363" s="115" t="s">
        <v>198</v>
      </c>
      <c r="F363" s="115"/>
      <c r="G363" s="115"/>
      <c r="H363" s="115"/>
      <c r="I363" s="115"/>
      <c r="J363" s="304"/>
      <c r="K363" s="24"/>
      <c r="L363" s="24"/>
      <c r="M363" s="21">
        <v>4541.97</v>
      </c>
      <c r="N363" s="22">
        <v>1133.05</v>
      </c>
      <c r="O363" s="21">
        <f t="shared" si="57"/>
        <v>1173.03</v>
      </c>
      <c r="P363" s="23"/>
      <c r="Q363" s="24"/>
      <c r="R363" s="24"/>
      <c r="S363" s="217"/>
      <c r="T363" s="211"/>
      <c r="U363" s="286"/>
      <c r="V363" s="211"/>
      <c r="W363" s="211"/>
    </row>
    <row r="364" spans="1:23" ht="12.75">
      <c r="A364" s="466" t="s">
        <v>199</v>
      </c>
      <c r="B364" s="466"/>
      <c r="C364" s="466"/>
      <c r="D364" s="466"/>
      <c r="E364" s="466"/>
      <c r="F364" s="115"/>
      <c r="G364" s="115"/>
      <c r="H364" s="115"/>
      <c r="I364" s="115"/>
      <c r="J364" s="121"/>
      <c r="K364" s="24"/>
      <c r="L364" s="24"/>
      <c r="N364" s="22">
        <v>3230.29</v>
      </c>
      <c r="O364" s="21">
        <f t="shared" si="57"/>
        <v>1311.6800000000003</v>
      </c>
      <c r="P364" s="23"/>
      <c r="Q364" s="24"/>
      <c r="R364" s="24"/>
      <c r="S364" s="217"/>
      <c r="T364" s="211"/>
      <c r="U364" s="286"/>
      <c r="V364" s="211"/>
      <c r="W364" s="211"/>
    </row>
    <row r="365" spans="1:23" ht="24.75" customHeight="1">
      <c r="A365" s="268"/>
      <c r="B365" s="268"/>
      <c r="C365" s="268"/>
      <c r="D365" s="268"/>
      <c r="E365" s="268"/>
      <c r="F365" s="115"/>
      <c r="G365" s="115"/>
      <c r="H365" s="115"/>
      <c r="I365" s="115"/>
      <c r="J365" s="121"/>
      <c r="K365" s="24"/>
      <c r="L365" s="24"/>
      <c r="M365" s="57">
        <f>SUM(M358+M360+M361+M363)</f>
        <v>19457.760000000002</v>
      </c>
      <c r="N365" s="22"/>
      <c r="O365" s="21"/>
      <c r="P365" s="23"/>
      <c r="Q365" s="24"/>
      <c r="R365" s="24"/>
      <c r="S365" s="217"/>
      <c r="T365" s="211"/>
      <c r="U365" s="286"/>
      <c r="V365" s="308">
        <f>M365</f>
        <v>19457.760000000002</v>
      </c>
      <c r="W365" s="219" t="s">
        <v>283</v>
      </c>
    </row>
    <row r="366" spans="1:23" ht="26.25" customHeight="1">
      <c r="A366" s="472" t="s">
        <v>200</v>
      </c>
      <c r="B366" s="472"/>
      <c r="C366" s="472"/>
      <c r="D366" s="472"/>
      <c r="E366" s="472"/>
      <c r="F366" s="123"/>
      <c r="G366" s="123"/>
      <c r="H366" s="123"/>
      <c r="I366" s="123"/>
      <c r="J366" s="124">
        <f>SUM(J358:J364)</f>
        <v>1184.9699999999998</v>
      </c>
      <c r="K366" s="124"/>
      <c r="L366" s="124"/>
      <c r="M366" s="57">
        <f>SUM(M358:M363)</f>
        <v>64074.399999999994</v>
      </c>
      <c r="N366" s="57">
        <f>SUM(N359:N364)</f>
        <v>31629.58</v>
      </c>
      <c r="O366" s="57">
        <f>M366-N366</f>
        <v>32444.819999999992</v>
      </c>
      <c r="P366" s="58"/>
      <c r="Q366" s="24"/>
      <c r="R366" s="24"/>
      <c r="S366" s="217"/>
      <c r="T366" s="211"/>
      <c r="U366" s="286"/>
      <c r="V366" s="308">
        <f>SUM(V359+V362)</f>
        <v>690500</v>
      </c>
      <c r="W366" s="219" t="s">
        <v>279</v>
      </c>
    </row>
    <row r="367" spans="1:19" ht="15" customHeight="1">
      <c r="A367" s="125"/>
      <c r="B367" s="125"/>
      <c r="C367" s="125"/>
      <c r="D367" s="125"/>
      <c r="E367" s="125"/>
      <c r="F367" s="67"/>
      <c r="G367" s="67"/>
      <c r="H367" s="67"/>
      <c r="I367" s="67"/>
      <c r="J367" s="126"/>
      <c r="K367" s="126"/>
      <c r="L367" s="126"/>
      <c r="M367" s="69"/>
      <c r="N367" s="69"/>
      <c r="O367" s="69"/>
      <c r="P367" s="66"/>
      <c r="S367" s="235"/>
    </row>
    <row r="368" spans="1:19" ht="12.75">
      <c r="A368" s="472" t="s">
        <v>201</v>
      </c>
      <c r="B368" s="472"/>
      <c r="C368" s="472"/>
      <c r="D368" s="472"/>
      <c r="E368" s="472"/>
      <c r="F368" s="68"/>
      <c r="G368" s="68"/>
      <c r="H368" s="68"/>
      <c r="I368" s="68"/>
      <c r="J368" s="2"/>
      <c r="K368" s="2"/>
      <c r="L368" s="2"/>
      <c r="M368" s="71"/>
      <c r="N368" s="127"/>
      <c r="O368" s="71"/>
      <c r="P368" s="73"/>
      <c r="S368" s="235"/>
    </row>
    <row r="369" spans="1:23" ht="12.75">
      <c r="A369" s="18">
        <v>1</v>
      </c>
      <c r="B369" s="16">
        <v>6028</v>
      </c>
      <c r="C369" s="16"/>
      <c r="D369" s="115"/>
      <c r="E369" s="115" t="s">
        <v>202</v>
      </c>
      <c r="F369" s="115"/>
      <c r="G369" s="115"/>
      <c r="H369" s="115"/>
      <c r="I369" s="115"/>
      <c r="J369" s="121">
        <v>26</v>
      </c>
      <c r="K369" s="24"/>
      <c r="L369" s="24"/>
      <c r="M369" s="21">
        <v>2068.71</v>
      </c>
      <c r="N369" s="22">
        <v>798.87</v>
      </c>
      <c r="O369" s="21">
        <f aca="true" t="shared" si="58" ref="O369:O376">M369-N369</f>
        <v>1269.8400000000001</v>
      </c>
      <c r="P369" s="23"/>
      <c r="Q369" s="24"/>
      <c r="R369" s="24"/>
      <c r="S369" s="217"/>
      <c r="T369" s="211"/>
      <c r="U369" s="286">
        <v>2000</v>
      </c>
      <c r="V369" s="290">
        <f>U369*J369</f>
        <v>52000</v>
      </c>
      <c r="W369" s="211"/>
    </row>
    <row r="370" spans="1:23" ht="12.75">
      <c r="A370" s="18">
        <v>2</v>
      </c>
      <c r="B370" s="16">
        <v>6029</v>
      </c>
      <c r="C370" s="16"/>
      <c r="D370" s="115"/>
      <c r="E370" s="115" t="s">
        <v>203</v>
      </c>
      <c r="F370" s="115"/>
      <c r="G370" s="115"/>
      <c r="H370" s="115"/>
      <c r="I370" s="115"/>
      <c r="J370" s="121">
        <v>235</v>
      </c>
      <c r="K370" s="24"/>
      <c r="L370" s="24"/>
      <c r="M370" s="21">
        <v>371590.04</v>
      </c>
      <c r="N370" s="22">
        <v>371590.04</v>
      </c>
      <c r="O370" s="21">
        <f t="shared" si="58"/>
        <v>0</v>
      </c>
      <c r="P370" s="23"/>
      <c r="Q370" s="24"/>
      <c r="R370" s="24"/>
      <c r="S370" s="217"/>
      <c r="T370" s="211"/>
      <c r="U370" s="286">
        <v>2000</v>
      </c>
      <c r="V370" s="290">
        <f>U370*J370</f>
        <v>470000</v>
      </c>
      <c r="W370" s="211"/>
    </row>
    <row r="371" spans="1:24" ht="12.75">
      <c r="A371" s="18">
        <v>3</v>
      </c>
      <c r="B371" s="122" t="s">
        <v>197</v>
      </c>
      <c r="C371" s="122"/>
      <c r="D371" s="115"/>
      <c r="E371" s="115" t="s">
        <v>204</v>
      </c>
      <c r="F371" s="115"/>
      <c r="G371" s="115"/>
      <c r="H371" s="115"/>
      <c r="I371" s="115"/>
      <c r="J371" s="121"/>
      <c r="K371" s="24"/>
      <c r="L371" s="24"/>
      <c r="M371" s="21">
        <v>176739.25</v>
      </c>
      <c r="N371" s="22">
        <v>67087.07</v>
      </c>
      <c r="O371" s="21">
        <f t="shared" si="58"/>
        <v>109652.18</v>
      </c>
      <c r="P371" s="23"/>
      <c r="Q371" s="24"/>
      <c r="R371" s="24"/>
      <c r="S371" s="217"/>
      <c r="V371" s="211"/>
      <c r="W371" s="215" t="s">
        <v>282</v>
      </c>
      <c r="X371" s="320" t="s">
        <v>222</v>
      </c>
    </row>
    <row r="372" spans="1:23" ht="12.75">
      <c r="A372" s="18">
        <v>4</v>
      </c>
      <c r="B372" s="122" t="s">
        <v>205</v>
      </c>
      <c r="C372" s="122"/>
      <c r="D372" s="115" t="s">
        <v>175</v>
      </c>
      <c r="E372" s="115" t="s">
        <v>206</v>
      </c>
      <c r="F372" s="115"/>
      <c r="G372" s="115"/>
      <c r="H372" s="115"/>
      <c r="I372" s="115"/>
      <c r="J372" s="121"/>
      <c r="K372" s="24"/>
      <c r="L372" s="24"/>
      <c r="M372" s="21">
        <v>7778</v>
      </c>
      <c r="N372" s="22">
        <v>3211.97</v>
      </c>
      <c r="O372" s="21">
        <f t="shared" si="58"/>
        <v>4566.030000000001</v>
      </c>
      <c r="P372" s="23"/>
      <c r="Q372" s="24"/>
      <c r="R372" s="24"/>
      <c r="S372" s="217"/>
      <c r="T372" s="211"/>
      <c r="U372" s="286"/>
      <c r="V372" s="211"/>
      <c r="W372" s="211"/>
    </row>
    <row r="373" spans="1:23" ht="12.75">
      <c r="A373" s="18">
        <v>5</v>
      </c>
      <c r="B373" s="122" t="s">
        <v>207</v>
      </c>
      <c r="C373" s="122"/>
      <c r="D373" s="115" t="s">
        <v>208</v>
      </c>
      <c r="E373" s="115" t="s">
        <v>209</v>
      </c>
      <c r="F373" s="115"/>
      <c r="G373" s="115"/>
      <c r="H373" s="115"/>
      <c r="I373" s="115"/>
      <c r="J373" s="121"/>
      <c r="K373" s="24"/>
      <c r="L373" s="24"/>
      <c r="M373" s="21">
        <v>3300</v>
      </c>
      <c r="N373" s="22">
        <v>1363.06</v>
      </c>
      <c r="O373" s="21">
        <f t="shared" si="58"/>
        <v>1936.94</v>
      </c>
      <c r="P373" s="23"/>
      <c r="Q373" s="24"/>
      <c r="R373" s="24"/>
      <c r="S373" s="217"/>
      <c r="T373" s="211"/>
      <c r="U373" s="286"/>
      <c r="V373" s="211"/>
      <c r="W373" s="211"/>
    </row>
    <row r="374" spans="1:23" ht="12.75">
      <c r="A374" s="18">
        <v>6</v>
      </c>
      <c r="B374" s="122" t="s">
        <v>210</v>
      </c>
      <c r="C374" s="122"/>
      <c r="D374" s="115" t="s">
        <v>78</v>
      </c>
      <c r="E374" s="115" t="s">
        <v>211</v>
      </c>
      <c r="F374" s="115"/>
      <c r="G374" s="115"/>
      <c r="H374" s="115"/>
      <c r="I374" s="115"/>
      <c r="J374" s="121"/>
      <c r="K374" s="24"/>
      <c r="L374" s="24"/>
      <c r="M374" s="21">
        <v>6400</v>
      </c>
      <c r="N374" s="22">
        <v>2642.58</v>
      </c>
      <c r="O374" s="21">
        <f t="shared" si="58"/>
        <v>3757.42</v>
      </c>
      <c r="P374" s="23"/>
      <c r="Q374" s="24"/>
      <c r="R374" s="24"/>
      <c r="S374" s="217"/>
      <c r="T374" s="211"/>
      <c r="U374" s="286"/>
      <c r="V374" s="211"/>
      <c r="W374" s="211"/>
    </row>
    <row r="375" spans="1:23" ht="28.5" customHeight="1">
      <c r="A375" s="18"/>
      <c r="B375" s="122"/>
      <c r="C375" s="122"/>
      <c r="D375" s="115"/>
      <c r="E375" s="115"/>
      <c r="F375" s="115"/>
      <c r="G375" s="115"/>
      <c r="H375" s="115"/>
      <c r="I375" s="115"/>
      <c r="J375" s="321"/>
      <c r="K375" s="24"/>
      <c r="L375" s="24"/>
      <c r="M375" s="57">
        <f>SUM(M372:M374)</f>
        <v>17478</v>
      </c>
      <c r="N375" s="22"/>
      <c r="O375" s="21"/>
      <c r="P375" s="23"/>
      <c r="Q375" s="24"/>
      <c r="R375" s="24"/>
      <c r="S375" s="217"/>
      <c r="U375" s="286"/>
      <c r="V375" s="308">
        <f>M375</f>
        <v>17478</v>
      </c>
      <c r="W375" s="219" t="s">
        <v>281</v>
      </c>
    </row>
    <row r="376" spans="1:23" ht="26.25" customHeight="1">
      <c r="A376" s="473" t="s">
        <v>212</v>
      </c>
      <c r="B376" s="473"/>
      <c r="C376" s="473"/>
      <c r="D376" s="473"/>
      <c r="E376" s="473"/>
      <c r="F376" s="123"/>
      <c r="G376" s="123"/>
      <c r="H376" s="123"/>
      <c r="I376" s="123"/>
      <c r="J376" s="124">
        <f>SUM(J369:J371)</f>
        <v>261</v>
      </c>
      <c r="K376" s="124"/>
      <c r="L376" s="124"/>
      <c r="M376" s="57">
        <f>SUM(M369:M374)</f>
        <v>567876</v>
      </c>
      <c r="N376" s="57">
        <f>SUM(N369:N374)</f>
        <v>446693.58999999997</v>
      </c>
      <c r="O376" s="57">
        <f t="shared" si="58"/>
        <v>121182.41000000003</v>
      </c>
      <c r="P376" s="58"/>
      <c r="Q376" s="24"/>
      <c r="R376" s="24"/>
      <c r="S376" s="217"/>
      <c r="T376" s="211"/>
      <c r="U376" s="286"/>
      <c r="V376" s="308">
        <f>SUM(V369:V370)</f>
        <v>522000</v>
      </c>
      <c r="W376" s="219" t="s">
        <v>280</v>
      </c>
    </row>
    <row r="377" spans="1:21" ht="12.75">
      <c r="A377" s="128"/>
      <c r="B377" s="129"/>
      <c r="C377" s="129"/>
      <c r="D377" s="61"/>
      <c r="E377" s="61"/>
      <c r="F377" s="130"/>
      <c r="G377" s="130"/>
      <c r="H377" s="130"/>
      <c r="I377" s="130"/>
      <c r="J377" s="5"/>
      <c r="K377" s="5"/>
      <c r="L377" s="5"/>
      <c r="M377" s="131"/>
      <c r="N377" s="131"/>
      <c r="O377" s="131"/>
      <c r="P377" s="132"/>
      <c r="S377" s="235"/>
      <c r="U377" s="307"/>
    </row>
    <row r="378" spans="1:21" ht="12.75">
      <c r="A378" s="470" t="s">
        <v>213</v>
      </c>
      <c r="B378" s="470"/>
      <c r="C378" s="470"/>
      <c r="D378" s="470"/>
      <c r="E378" s="470"/>
      <c r="F378" s="133"/>
      <c r="G378" s="133"/>
      <c r="H378" s="133"/>
      <c r="I378" s="133"/>
      <c r="J378" s="7"/>
      <c r="K378" s="7"/>
      <c r="L378" s="7"/>
      <c r="M378" s="134"/>
      <c r="N378" s="135"/>
      <c r="O378" s="136"/>
      <c r="P378" s="137"/>
      <c r="S378" s="235"/>
      <c r="U378" s="307"/>
    </row>
    <row r="379" spans="1:23" ht="12.75">
      <c r="A379" s="138">
        <v>1</v>
      </c>
      <c r="B379" s="139"/>
      <c r="C379" s="139"/>
      <c r="D379" s="123"/>
      <c r="E379" s="140" t="s">
        <v>214</v>
      </c>
      <c r="F379" s="130"/>
      <c r="G379" s="130"/>
      <c r="H379" s="130"/>
      <c r="I379" s="130"/>
      <c r="J379" s="5"/>
      <c r="K379" s="5"/>
      <c r="L379" s="5"/>
      <c r="M379" s="141">
        <v>437482.17</v>
      </c>
      <c r="N379" s="142">
        <v>364104.13</v>
      </c>
      <c r="O379" s="143">
        <f>M379-N379</f>
        <v>73378.03999999998</v>
      </c>
      <c r="P379" s="144"/>
      <c r="Q379" s="24"/>
      <c r="R379" s="24"/>
      <c r="S379" s="217"/>
      <c r="T379" s="211"/>
      <c r="U379" s="286"/>
      <c r="V379" s="211"/>
      <c r="W379" s="211"/>
    </row>
    <row r="380" spans="1:24" ht="24" customHeight="1">
      <c r="A380" s="347">
        <v>2</v>
      </c>
      <c r="B380" s="358">
        <v>7147</v>
      </c>
      <c r="C380" s="348">
        <v>189</v>
      </c>
      <c r="D380" s="349" t="s">
        <v>22</v>
      </c>
      <c r="E380" s="357" t="s">
        <v>295</v>
      </c>
      <c r="F380" s="350"/>
      <c r="G380" s="350"/>
      <c r="H380" s="350"/>
      <c r="I380" s="350"/>
      <c r="J380" s="351">
        <f>SUM(K380+L380)</f>
        <v>325.2</v>
      </c>
      <c r="K380" s="351"/>
      <c r="L380" s="351">
        <v>325.2</v>
      </c>
      <c r="M380" s="352">
        <v>65105</v>
      </c>
      <c r="N380" s="353"/>
      <c r="O380" s="371"/>
      <c r="P380" s="374"/>
      <c r="Q380" s="372"/>
      <c r="R380" s="354"/>
      <c r="S380" s="355"/>
      <c r="T380" s="263"/>
      <c r="U380" s="313">
        <v>2710</v>
      </c>
      <c r="V380" s="319">
        <f>U380*J380</f>
        <v>881292</v>
      </c>
      <c r="W380" s="384" t="s">
        <v>297</v>
      </c>
      <c r="X380" s="356" t="s">
        <v>167</v>
      </c>
    </row>
    <row r="381" spans="1:23" ht="20.25" customHeight="1">
      <c r="A381" s="346" t="s">
        <v>228</v>
      </c>
      <c r="B381" s="115"/>
      <c r="C381" s="115"/>
      <c r="D381" s="115"/>
      <c r="E381" s="115" t="s">
        <v>215</v>
      </c>
      <c r="F381" s="115"/>
      <c r="G381" s="115"/>
      <c r="H381" s="115"/>
      <c r="I381" s="115"/>
      <c r="J381" s="24"/>
      <c r="K381" s="24"/>
      <c r="L381" s="24"/>
      <c r="M381" s="21">
        <v>138987.98</v>
      </c>
      <c r="N381" s="22">
        <v>115292.87</v>
      </c>
      <c r="O381" s="21">
        <f>M381-N381</f>
        <v>23695.110000000015</v>
      </c>
      <c r="P381" s="373"/>
      <c r="Q381" s="24"/>
      <c r="R381" s="24"/>
      <c r="S381" s="217"/>
      <c r="T381" s="211"/>
      <c r="U381" s="286"/>
      <c r="V381" s="211"/>
      <c r="W381" s="211"/>
    </row>
    <row r="382" spans="1:23" ht="12.75">
      <c r="A382" s="122">
        <f>A381+1</f>
        <v>4</v>
      </c>
      <c r="B382" s="115"/>
      <c r="C382" s="115"/>
      <c r="D382" s="115"/>
      <c r="E382" s="115" t="s">
        <v>216</v>
      </c>
      <c r="F382" s="115"/>
      <c r="G382" s="115"/>
      <c r="H382" s="115"/>
      <c r="I382" s="115"/>
      <c r="J382" s="24"/>
      <c r="K382" s="24"/>
      <c r="L382" s="24"/>
      <c r="M382" s="21">
        <v>17111.61</v>
      </c>
      <c r="N382" s="22">
        <v>10136.52</v>
      </c>
      <c r="O382" s="21">
        <f>M382-N382</f>
        <v>6975.09</v>
      </c>
      <c r="P382" s="23"/>
      <c r="Q382" s="24"/>
      <c r="R382" s="24"/>
      <c r="S382" s="217"/>
      <c r="T382" s="211"/>
      <c r="U382" s="286"/>
      <c r="V382" s="211"/>
      <c r="W382" s="211"/>
    </row>
    <row r="383" spans="1:23" ht="27" customHeight="1">
      <c r="A383" s="466" t="s">
        <v>217</v>
      </c>
      <c r="B383" s="466"/>
      <c r="C383" s="466"/>
      <c r="D383" s="466"/>
      <c r="E383" s="466"/>
      <c r="F383" s="123"/>
      <c r="G383" s="123"/>
      <c r="H383" s="123"/>
      <c r="I383" s="123"/>
      <c r="J383" s="124"/>
      <c r="K383" s="124"/>
      <c r="L383" s="124"/>
      <c r="M383" s="57">
        <f>SUM(M379:M382)</f>
        <v>658686.76</v>
      </c>
      <c r="N383" s="57">
        <f>SUM(N379:N382)</f>
        <v>489533.52</v>
      </c>
      <c r="O383" s="57">
        <f>M383-N383</f>
        <v>169153.24</v>
      </c>
      <c r="P383" s="58"/>
      <c r="Q383" s="24"/>
      <c r="R383" s="24"/>
      <c r="S383" s="217"/>
      <c r="T383" s="211" t="s">
        <v>269</v>
      </c>
      <c r="U383" s="286"/>
      <c r="V383" s="375">
        <v>593581.76</v>
      </c>
      <c r="W383" s="219" t="s">
        <v>296</v>
      </c>
    </row>
    <row r="384" spans="1:22" ht="12.75">
      <c r="A384" s="11"/>
      <c r="B384" s="145"/>
      <c r="C384" s="145"/>
      <c r="D384" s="145"/>
      <c r="E384" s="146"/>
      <c r="F384" s="130"/>
      <c r="G384" s="130"/>
      <c r="H384" s="130"/>
      <c r="I384" s="130"/>
      <c r="J384" s="5"/>
      <c r="K384" s="5"/>
      <c r="L384" s="5"/>
      <c r="M384" s="131"/>
      <c r="N384" s="131"/>
      <c r="O384" s="131"/>
      <c r="P384" s="147"/>
      <c r="Q384" s="148"/>
      <c r="R384" s="148"/>
      <c r="S384" s="240"/>
      <c r="T384" s="211"/>
      <c r="U384" s="285"/>
      <c r="V384" s="211"/>
    </row>
    <row r="385" spans="1:22" ht="27" customHeight="1">
      <c r="A385" s="471" t="s">
        <v>218</v>
      </c>
      <c r="B385" s="471"/>
      <c r="C385" s="471"/>
      <c r="D385" s="471"/>
      <c r="E385" s="471"/>
      <c r="F385" s="130"/>
      <c r="G385" s="130"/>
      <c r="H385" s="130"/>
      <c r="I385" s="130"/>
      <c r="J385" s="5"/>
      <c r="K385" s="5"/>
      <c r="L385" s="5"/>
      <c r="M385" s="131"/>
      <c r="N385" s="131"/>
      <c r="O385" s="131"/>
      <c r="P385" s="147"/>
      <c r="Q385" s="148"/>
      <c r="R385" s="148"/>
      <c r="S385" s="208"/>
      <c r="T385" s="211"/>
      <c r="U385" s="211"/>
      <c r="V385" s="211"/>
    </row>
    <row r="386" spans="1:23" ht="12.75">
      <c r="A386" s="149">
        <v>1</v>
      </c>
      <c r="B386" s="150">
        <v>6033</v>
      </c>
      <c r="C386" s="150"/>
      <c r="D386" s="151"/>
      <c r="E386" s="152" t="s">
        <v>219</v>
      </c>
      <c r="F386" s="153"/>
      <c r="G386" s="153"/>
      <c r="H386" s="153"/>
      <c r="I386" s="153"/>
      <c r="J386" s="154"/>
      <c r="K386" s="154"/>
      <c r="L386" s="154"/>
      <c r="M386" s="155">
        <v>102732.93</v>
      </c>
      <c r="N386" s="155">
        <v>0</v>
      </c>
      <c r="O386" s="155">
        <f>M386-N386</f>
        <v>102732.93</v>
      </c>
      <c r="P386" s="156"/>
      <c r="Q386" s="157"/>
      <c r="R386" s="157"/>
      <c r="S386" s="209"/>
      <c r="T386" s="264"/>
      <c r="U386" s="316" t="s">
        <v>220</v>
      </c>
      <c r="V386" s="211"/>
      <c r="W386" s="211"/>
    </row>
    <row r="387" spans="1:23" ht="12.75">
      <c r="A387" s="11"/>
      <c r="B387" s="145"/>
      <c r="C387" s="145"/>
      <c r="D387" s="145"/>
      <c r="E387" s="146"/>
      <c r="F387" s="130"/>
      <c r="G387" s="130"/>
      <c r="H387" s="130"/>
      <c r="I387" s="130"/>
      <c r="J387" s="5"/>
      <c r="K387" s="5"/>
      <c r="L387" s="5"/>
      <c r="M387" s="131"/>
      <c r="N387" s="131"/>
      <c r="O387" s="131"/>
      <c r="P387" s="147"/>
      <c r="Q387" s="148"/>
      <c r="R387" s="148"/>
      <c r="S387" s="208"/>
      <c r="T387" s="211"/>
      <c r="U387" s="211"/>
      <c r="V387" s="211"/>
      <c r="W387" s="211"/>
    </row>
    <row r="388" spans="1:23" ht="12.75">
      <c r="A388" s="466" t="s">
        <v>221</v>
      </c>
      <c r="B388" s="466"/>
      <c r="C388" s="466"/>
      <c r="D388" s="466"/>
      <c r="E388" s="3"/>
      <c r="F388" s="158"/>
      <c r="G388" s="159">
        <f>SUM(G376+G366+G355+G329+G318+G144)</f>
        <v>3006</v>
      </c>
      <c r="H388" s="159">
        <f>SUM(H376+H366+H355+H329+H318+H144)</f>
        <v>2800</v>
      </c>
      <c r="I388" s="159">
        <f>SUM(I376+I366+I355+I329+I318+I144)</f>
        <v>192</v>
      </c>
      <c r="J388" s="160">
        <f>SUM(J144+J318+J329+J355+J366+J376+J380)</f>
        <v>158495.84</v>
      </c>
      <c r="K388" s="160">
        <f>SUM(K144+K318+K329+K355+K366+K376)</f>
        <v>140767.34</v>
      </c>
      <c r="L388" s="160">
        <f>SUM(L144+L318+L329+L355+L366+L376)</f>
        <v>14999.27</v>
      </c>
      <c r="M388" s="160">
        <f>SUM(M144+M318+M329+M355+M366+M376+M383+M386)</f>
        <v>56578050.83</v>
      </c>
      <c r="N388" s="160">
        <f>SUM(N376+N366+N355+N329+N318+N144+N383+N386)</f>
        <v>24003645.060000006</v>
      </c>
      <c r="O388" s="160">
        <f>M388-N388</f>
        <v>32574405.769999992</v>
      </c>
      <c r="P388" s="161"/>
      <c r="Q388" s="162"/>
      <c r="R388" s="162"/>
      <c r="S388" s="210"/>
      <c r="T388" s="211"/>
      <c r="U388" s="211"/>
      <c r="V388" s="211"/>
      <c r="W388" s="211"/>
    </row>
    <row r="389" spans="1:1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73"/>
    </row>
    <row r="390" spans="1:16" ht="12.75">
      <c r="A390" s="2"/>
      <c r="B390" s="2"/>
      <c r="C390" s="2"/>
      <c r="D390" s="126" t="s">
        <v>222</v>
      </c>
      <c r="E390" s="463" t="s">
        <v>223</v>
      </c>
      <c r="F390" s="463"/>
      <c r="G390" s="463"/>
      <c r="H390" s="463"/>
      <c r="I390" s="463"/>
      <c r="J390" s="463"/>
      <c r="K390" s="463"/>
      <c r="L390" s="463"/>
      <c r="M390" s="463"/>
      <c r="N390" s="71"/>
      <c r="O390" s="71"/>
      <c r="P390" s="2"/>
    </row>
    <row r="391" spans="1:16" ht="12.75">
      <c r="A391" s="2"/>
      <c r="B391" s="2"/>
      <c r="C391" s="2"/>
      <c r="D391" s="126" t="s">
        <v>167</v>
      </c>
      <c r="E391" s="436" t="s">
        <v>224</v>
      </c>
      <c r="F391" s="437"/>
      <c r="G391" s="437"/>
      <c r="H391" s="437"/>
      <c r="I391" s="437"/>
      <c r="J391" s="438" t="s">
        <v>301</v>
      </c>
      <c r="K391" s="53"/>
      <c r="L391" s="2"/>
      <c r="M391" s="71"/>
      <c r="N391" s="71"/>
      <c r="O391" s="71"/>
      <c r="P391" s="2"/>
    </row>
    <row r="392" spans="1:16" ht="12.75">
      <c r="A392" s="2"/>
      <c r="B392" s="2"/>
      <c r="C392" s="2"/>
      <c r="D392" s="126" t="s">
        <v>225</v>
      </c>
      <c r="E392" s="499" t="s">
        <v>266</v>
      </c>
      <c r="F392" s="499"/>
      <c r="G392" s="499"/>
      <c r="H392" s="499"/>
      <c r="I392" s="499"/>
      <c r="J392" s="499"/>
      <c r="K392" s="499"/>
      <c r="L392" s="499"/>
      <c r="M392" s="499"/>
      <c r="N392" s="71"/>
      <c r="O392" s="71"/>
      <c r="P392" s="2"/>
    </row>
    <row r="393" spans="1:16" ht="12.75" customHeight="1">
      <c r="A393" s="2"/>
      <c r="B393" s="2"/>
      <c r="C393" s="2"/>
      <c r="D393" s="439" t="s">
        <v>220</v>
      </c>
      <c r="E393" s="493" t="s">
        <v>226</v>
      </c>
      <c r="F393" s="493"/>
      <c r="G393" s="493"/>
      <c r="H393" s="493"/>
      <c r="I393" s="493"/>
      <c r="J393" s="493"/>
      <c r="K393" s="493"/>
      <c r="L393" s="493"/>
      <c r="M393" s="493"/>
      <c r="N393" s="2"/>
      <c r="O393" s="2"/>
      <c r="P393" s="2"/>
    </row>
    <row r="394" spans="1:16" ht="12.75" customHeight="1">
      <c r="A394" s="2"/>
      <c r="B394" s="2"/>
      <c r="C394" s="2"/>
      <c r="K394" s="2"/>
      <c r="L394" s="2"/>
      <c r="M394" s="2"/>
      <c r="N394" s="2"/>
      <c r="O394" s="2"/>
      <c r="P394" s="2"/>
    </row>
    <row r="395" spans="1:1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2.75">
      <c r="A396" s="2"/>
      <c r="B396" s="2"/>
      <c r="C396" s="2"/>
      <c r="D396" s="2"/>
      <c r="E396" s="490" t="s">
        <v>302</v>
      </c>
      <c r="F396" s="490"/>
      <c r="G396" s="490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2.75">
      <c r="A397" s="2"/>
      <c r="B397" s="2"/>
      <c r="C397" s="2"/>
      <c r="D397" s="2"/>
      <c r="E397" s="75"/>
      <c r="F397" s="53"/>
      <c r="G397" s="5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22.5" customHeight="1">
      <c r="A398" s="2"/>
      <c r="B398" s="2"/>
      <c r="C398" s="2"/>
      <c r="D398" s="491" t="s">
        <v>238</v>
      </c>
      <c r="E398" s="491"/>
      <c r="F398" s="163">
        <v>159118.73</v>
      </c>
      <c r="G398" s="5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22.5" customHeight="1">
      <c r="A399" s="2"/>
      <c r="B399" s="2"/>
      <c r="C399" s="2"/>
      <c r="D399" s="492"/>
      <c r="E399" s="492"/>
      <c r="F399" s="164"/>
      <c r="G399" s="5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30.75" customHeight="1">
      <c r="A400" s="2"/>
      <c r="B400" s="165">
        <v>1</v>
      </c>
      <c r="C400" s="165"/>
      <c r="D400" s="460" t="s">
        <v>239</v>
      </c>
      <c r="E400" s="461"/>
      <c r="F400" s="166">
        <v>4.65</v>
      </c>
      <c r="G400" s="5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22.5" customHeight="1">
      <c r="A401" s="2"/>
      <c r="B401" s="167" t="s">
        <v>227</v>
      </c>
      <c r="C401" s="167"/>
      <c r="D401" s="462" t="s">
        <v>240</v>
      </c>
      <c r="E401" s="485"/>
      <c r="F401" s="166">
        <v>3.4</v>
      </c>
      <c r="G401" s="5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22.5" customHeight="1">
      <c r="A402" s="2"/>
      <c r="B402" s="167" t="s">
        <v>228</v>
      </c>
      <c r="C402" s="167"/>
      <c r="D402" s="462" t="s">
        <v>241</v>
      </c>
      <c r="E402" s="485"/>
      <c r="F402" s="166">
        <v>1.01</v>
      </c>
      <c r="G402" s="5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29.25" customHeight="1">
      <c r="A403" s="2"/>
      <c r="B403" s="167" t="s">
        <v>229</v>
      </c>
      <c r="C403" s="167"/>
      <c r="D403" s="460" t="s">
        <v>243</v>
      </c>
      <c r="E403" s="461"/>
      <c r="F403" s="166">
        <v>1.07</v>
      </c>
      <c r="G403" s="5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26.25" customHeight="1">
      <c r="A404" s="2"/>
      <c r="B404" s="167" t="s">
        <v>230</v>
      </c>
      <c r="C404" s="167"/>
      <c r="D404" s="460" t="s">
        <v>242</v>
      </c>
      <c r="E404" s="461"/>
      <c r="F404" s="166">
        <v>0</v>
      </c>
      <c r="G404" s="5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22.5" customHeight="1">
      <c r="A405" s="2"/>
      <c r="B405" s="167" t="s">
        <v>231</v>
      </c>
      <c r="C405" s="167"/>
      <c r="D405" s="462" t="s">
        <v>244</v>
      </c>
      <c r="E405" s="485"/>
      <c r="F405" s="166">
        <v>-1.33</v>
      </c>
      <c r="G405" s="5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27" customHeight="1">
      <c r="A406" s="2"/>
      <c r="B406" s="167" t="s">
        <v>232</v>
      </c>
      <c r="C406" s="167"/>
      <c r="D406" s="486" t="s">
        <v>285</v>
      </c>
      <c r="E406" s="487"/>
      <c r="F406" s="168">
        <v>-346.17</v>
      </c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24.75" customHeight="1">
      <c r="A407" s="2"/>
      <c r="B407" s="167" t="s">
        <v>233</v>
      </c>
      <c r="C407" s="167"/>
      <c r="D407" s="486" t="s">
        <v>288</v>
      </c>
      <c r="E407" s="487"/>
      <c r="F407" s="168">
        <v>152.04</v>
      </c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20.25" customHeight="1">
      <c r="A408" s="2"/>
      <c r="B408" s="167" t="s">
        <v>234</v>
      </c>
      <c r="C408" s="167"/>
      <c r="D408" s="488" t="s">
        <v>298</v>
      </c>
      <c r="E408" s="489"/>
      <c r="F408" s="168">
        <v>325.2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9.5" customHeight="1">
      <c r="A409" s="2"/>
      <c r="B409" s="167" t="s">
        <v>235</v>
      </c>
      <c r="C409" s="167"/>
      <c r="D409" s="489"/>
      <c r="E409" s="489"/>
      <c r="F409" s="168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21.75" customHeight="1">
      <c r="A410" s="2"/>
      <c r="B410" s="167" t="s">
        <v>236</v>
      </c>
      <c r="C410" s="167"/>
      <c r="D410" s="489"/>
      <c r="E410" s="489"/>
      <c r="F410" s="168">
        <f>SUM(F400:F408)</f>
        <v>139.86999999999998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7.25" customHeight="1">
      <c r="A411" s="2"/>
      <c r="B411" s="167" t="s">
        <v>237</v>
      </c>
      <c r="C411" s="167"/>
      <c r="D411" s="489"/>
      <c r="E411" s="489"/>
      <c r="F411" s="169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26.25" customHeight="1">
      <c r="A412" s="2"/>
      <c r="B412" s="167"/>
      <c r="C412" s="167"/>
      <c r="D412" s="482" t="s">
        <v>246</v>
      </c>
      <c r="E412" s="482"/>
      <c r="F412" s="170">
        <f>F398+F410</f>
        <v>159258.6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30.75" customHeight="1">
      <c r="A413" s="2"/>
      <c r="B413" s="323">
        <v>1</v>
      </c>
      <c r="C413" s="323"/>
      <c r="D413" s="483" t="s">
        <v>286</v>
      </c>
      <c r="E413" s="484"/>
      <c r="F413" s="324">
        <v>-333.14</v>
      </c>
      <c r="G413" s="2"/>
      <c r="H413" s="2"/>
      <c r="I413" s="2"/>
      <c r="J413" s="2" t="s">
        <v>284</v>
      </c>
      <c r="K413" s="2"/>
      <c r="L413" s="2"/>
      <c r="M413" s="2"/>
      <c r="N413" s="2"/>
      <c r="O413" s="2"/>
      <c r="P413" s="2"/>
    </row>
    <row r="414" spans="1:16" ht="32.25" customHeight="1">
      <c r="A414" s="2"/>
      <c r="B414" s="323">
        <v>2</v>
      </c>
      <c r="C414" s="323"/>
      <c r="D414" s="478" t="s">
        <v>287</v>
      </c>
      <c r="E414" s="479"/>
      <c r="F414" s="324">
        <v>-203.98</v>
      </c>
      <c r="G414" s="2"/>
      <c r="H414" s="2"/>
      <c r="I414" s="2"/>
      <c r="J414" s="2" t="s">
        <v>284</v>
      </c>
      <c r="K414" s="2"/>
      <c r="L414" s="2"/>
      <c r="M414" s="2"/>
      <c r="N414" s="2"/>
      <c r="O414" s="2"/>
      <c r="P414" s="2"/>
    </row>
    <row r="415" spans="1:16" ht="27.75" customHeight="1">
      <c r="A415" s="2"/>
      <c r="B415" s="323"/>
      <c r="C415" s="323"/>
      <c r="D415" s="480"/>
      <c r="E415" s="480"/>
      <c r="F415" s="325">
        <f>F412+F413+F414</f>
        <v>158721.47999999998</v>
      </c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23.25" customHeight="1">
      <c r="A416" s="2"/>
      <c r="B416" s="2"/>
      <c r="C416" s="2"/>
      <c r="D416" s="478" t="s">
        <v>299</v>
      </c>
      <c r="E416" s="479"/>
      <c r="F416" s="324">
        <v>75.6</v>
      </c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31.5" customHeight="1">
      <c r="A417" s="2"/>
      <c r="B417" s="2"/>
      <c r="C417" s="2"/>
      <c r="D417" s="478" t="s">
        <v>300</v>
      </c>
      <c r="E417" s="479"/>
      <c r="F417" s="324">
        <v>150.04</v>
      </c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33" customHeight="1">
      <c r="A418" s="2"/>
      <c r="B418" s="2"/>
      <c r="C418" s="2"/>
      <c r="D418" s="481"/>
      <c r="E418" s="481"/>
      <c r="F418" s="325">
        <f>F415-F416-F417</f>
        <v>158495.83999999997</v>
      </c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2.75">
      <c r="A419" s="2"/>
      <c r="B419" s="2"/>
      <c r="C419" s="2"/>
      <c r="D419" s="480"/>
      <c r="E419" s="480"/>
      <c r="F419" s="171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28.5" customHeight="1">
      <c r="A420" s="2"/>
      <c r="B420" s="2"/>
      <c r="C420" s="2"/>
      <c r="D420" s="477"/>
      <c r="E420" s="477"/>
      <c r="F420" s="171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2.75">
      <c r="A421" s="2"/>
      <c r="B421" s="2"/>
      <c r="C421" s="2"/>
      <c r="D421" s="53"/>
      <c r="E421" s="172"/>
      <c r="F421" s="164"/>
      <c r="G421" s="5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</sheetData>
  <mergeCells count="64">
    <mergeCell ref="E392:M392"/>
    <mergeCell ref="A147:E147"/>
    <mergeCell ref="T4:T5"/>
    <mergeCell ref="S4:S5"/>
    <mergeCell ref="O4:O6"/>
    <mergeCell ref="K5:K6"/>
    <mergeCell ref="L5:L6"/>
    <mergeCell ref="A388:D388"/>
    <mergeCell ref="A364:E364"/>
    <mergeCell ref="A366:E366"/>
    <mergeCell ref="A2:S2"/>
    <mergeCell ref="A4:A6"/>
    <mergeCell ref="B4:B6"/>
    <mergeCell ref="D4:E6"/>
    <mergeCell ref="F4:F6"/>
    <mergeCell ref="G4:I4"/>
    <mergeCell ref="J4:L4"/>
    <mergeCell ref="C4:C6"/>
    <mergeCell ref="M4:M6"/>
    <mergeCell ref="N4:N6"/>
    <mergeCell ref="E396:G396"/>
    <mergeCell ref="D398:E398"/>
    <mergeCell ref="D399:E399"/>
    <mergeCell ref="E393:M393"/>
    <mergeCell ref="D400:E400"/>
    <mergeCell ref="D401:E401"/>
    <mergeCell ref="D402:E402"/>
    <mergeCell ref="D403:E403"/>
    <mergeCell ref="D412:E412"/>
    <mergeCell ref="D413:E41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20:E420"/>
    <mergeCell ref="D414:E414"/>
    <mergeCell ref="D415:E415"/>
    <mergeCell ref="D416:E416"/>
    <mergeCell ref="D417:E417"/>
    <mergeCell ref="D418:E418"/>
    <mergeCell ref="D419:E419"/>
    <mergeCell ref="W4:W5"/>
    <mergeCell ref="A378:E378"/>
    <mergeCell ref="A383:E383"/>
    <mergeCell ref="A385:E385"/>
    <mergeCell ref="A368:E368"/>
    <mergeCell ref="A376:E376"/>
    <mergeCell ref="A321:E321"/>
    <mergeCell ref="A329:E329"/>
    <mergeCell ref="A333:E333"/>
    <mergeCell ref="A355:E355"/>
    <mergeCell ref="E390:M390"/>
    <mergeCell ref="U4:U5"/>
    <mergeCell ref="V4:V5"/>
    <mergeCell ref="I5:I6"/>
    <mergeCell ref="J5:J6"/>
    <mergeCell ref="A8:E8"/>
    <mergeCell ref="A144:E144"/>
    <mergeCell ref="G5:G6"/>
    <mergeCell ref="H5:H6"/>
  </mergeCells>
  <printOptions/>
  <pageMargins left="0.35433070866141736" right="0.1968503937007874" top="0.3937007874015748" bottom="0.35433070866141736" header="0.31496062992125984" footer="0.5511811023622047"/>
  <pageSetup horizontalDpi="300" verticalDpi="300" orientation="landscape" paperSize="9" scale="55" r:id="rId1"/>
  <headerFooter alignWithMargins="0">
    <oddHeader xml:space="preserve">&amp;C&amp;"Times New Roman,Normalny"SIWZ NA KOMPLEKSOWE UBEZPIECZENIE MIENIA I ODPOWIEDZIALNOŚCI CYWILNEJ GMINY POLICE WRAZ Z JEDNOSTKAMI ORGANIZACYJNYMI I POMOCNICZYMI - ZAŁĄCZNIK C.1 </oddHeader>
    <oddFooter>&amp;R&amp;P/&amp;N ZAŁĄCZNIK C.1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Kowalik</cp:lastModifiedBy>
  <cp:lastPrinted>2007-08-24T19:18:39Z</cp:lastPrinted>
  <dcterms:created xsi:type="dcterms:W3CDTF">2003-12-19T10:42:28Z</dcterms:created>
  <dcterms:modified xsi:type="dcterms:W3CDTF">2007-08-24T19:18:42Z</dcterms:modified>
  <cp:category/>
  <cp:version/>
  <cp:contentType/>
  <cp:contentStatus/>
  <cp:revision>1</cp:revision>
</cp:coreProperties>
</file>