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tabRatio="787" activeTab="0"/>
  </bookViews>
  <sheets>
    <sheet name="1 - dochody " sheetId="1" r:id="rId1"/>
    <sheet name="1-dochody układzie rodzajowym" sheetId="2" r:id="rId2"/>
    <sheet name="2-wydatki" sheetId="3" r:id="rId3"/>
    <sheet name="3-jednostki pomocnicze" sheetId="4" r:id="rId4"/>
    <sheet name="4-dotacje zakłady budżetowe" sheetId="5" r:id="rId5"/>
    <sheet name="4 - dot celowe - programy" sheetId="6" r:id="rId6"/>
    <sheet name="4 - dot pozostałe" sheetId="7" r:id="rId7"/>
    <sheet name="4 - dot na  pomoc fin" sheetId="8" r:id="rId8"/>
    <sheet name="4 - dot z porozumień" sheetId="9" r:id="rId9"/>
    <sheet name="4 - dot .wspólne" sheetId="10" r:id="rId10"/>
    <sheet name="5 - wyd na progr współfin" sheetId="11" r:id="rId11"/>
  </sheets>
  <definedNames>
    <definedName name="_xlnm.Print_Area" localSheetId="0">'1 - dochody '!$A$1:$I$416</definedName>
    <definedName name="_xlnm.Print_Area" localSheetId="1">'1-dochody układzie rodzajowym'!$A$1:$D$76</definedName>
    <definedName name="_xlnm.Print_Area" localSheetId="2">'2-wydatki'!$A$1:$L$313</definedName>
    <definedName name="_xlnm.Print_Area" localSheetId="5">'4 - dot celowe - programy'!$A$1:$G$128</definedName>
    <definedName name="_xlnm.Print_Area" localSheetId="6">'4 - dot pozostałe'!$A$1:$K$38</definedName>
    <definedName name="_xlnm.Print_Area" localSheetId="4">'4-dotacje zakłady budżetowe'!$A$1:$G$130</definedName>
    <definedName name="_xlnm.Print_Area" localSheetId="10">'5 - wyd na progr współfin'!$A$1:$Q$37</definedName>
  </definedNames>
  <calcPr fullCalcOnLoad="1"/>
</workbook>
</file>

<file path=xl/comments11.xml><?xml version="1.0" encoding="utf-8"?>
<comments xmlns="http://schemas.openxmlformats.org/spreadsheetml/2006/main">
  <authors>
    <author>ug</author>
  </authors>
  <commentList>
    <comment ref="M9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zaplanowano 1.400</t>
        </r>
      </text>
    </comment>
    <comment ref="M34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200.000</t>
        </r>
      </text>
    </comment>
    <comment ref="O34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631.738</t>
        </r>
      </text>
    </comment>
    <comment ref="P34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312.542</t>
        </r>
      </text>
    </comment>
    <comment ref="M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93.285</t>
        </r>
      </text>
    </comment>
    <comment ref="O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528.615</t>
        </r>
      </text>
    </comment>
    <comment ref="M35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145.000</t>
        </r>
      </text>
    </comment>
    <comment ref="O35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125.000</t>
        </r>
      </text>
    </comment>
    <comment ref="M36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147.451</t>
        </r>
      </text>
    </comment>
    <comment ref="O36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102.549</t>
        </r>
      </text>
    </comment>
    <comment ref="M6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368.000
</t>
        </r>
      </text>
    </comment>
    <comment ref="O6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1.122.000</t>
        </r>
      </text>
    </comment>
    <comment ref="O10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1.600</t>
        </r>
      </text>
    </comment>
    <comment ref="O11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3.000</t>
        </r>
      </text>
    </comment>
    <comment ref="P10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1.400
</t>
        </r>
      </text>
    </comment>
    <comment ref="P11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2.000</t>
        </r>
      </text>
    </comment>
    <comment ref="O12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400</t>
        </r>
      </text>
    </comment>
    <comment ref="P12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961</t>
        </r>
      </text>
    </comment>
    <comment ref="O1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300</t>
        </r>
      </text>
    </comment>
    <comment ref="O14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500</t>
        </r>
      </text>
    </comment>
    <comment ref="M32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577.869</t>
        </r>
      </text>
    </comment>
    <comment ref="O32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922.131</t>
        </r>
      </text>
    </comment>
    <comment ref="M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283.500</t>
        </r>
      </text>
    </comment>
    <comment ref="O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plan: 1.066.500</t>
        </r>
      </text>
    </comment>
  </commentList>
</comments>
</file>

<file path=xl/sharedStrings.xml><?xml version="1.0" encoding="utf-8"?>
<sst xmlns="http://schemas.openxmlformats.org/spreadsheetml/2006/main" count="1333" uniqueCount="676">
  <si>
    <t>w zł</t>
  </si>
  <si>
    <t>Dział</t>
  </si>
  <si>
    <t xml:space="preserve">              Treść</t>
  </si>
  <si>
    <t>Plan</t>
  </si>
  <si>
    <t>z tego:</t>
  </si>
  <si>
    <t>dochody bieżące</t>
  </si>
  <si>
    <t>dochody majątkowe</t>
  </si>
  <si>
    <t>TRANSPORT I ŁĄCZNOŚĆ</t>
  </si>
  <si>
    <t>GOSPODARKA MIESZKANIOWA</t>
  </si>
  <si>
    <t>ADMINISTRACJA PUBLICZNA</t>
  </si>
  <si>
    <t xml:space="preserve">URZĘDY NACZELNYCH ORGANÓW WŁADZY PAŃSTWOWEJ, </t>
  </si>
  <si>
    <t>KONTROLI I OCHRONY PRAWA ORAZ SĄDOWNICTWA</t>
  </si>
  <si>
    <t>BEZPIECZEŃSTWO PUBLICZNE</t>
  </si>
  <si>
    <t>I OCHRONA PRZECIWPOŻAROWA</t>
  </si>
  <si>
    <t xml:space="preserve">DOCHODY OD OSÓB PRAWNYCH, OD OSÓB FIZYCZNYCH </t>
  </si>
  <si>
    <t>I OD INNYCH JEDNOSTEK NIEPOSIADAJĄCYCH OSOBOWOŚCI PRAWNEJ</t>
  </si>
  <si>
    <t>ORAZ WYDATKI ZWIĄZANE Z ICH POBOREM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</si>
  <si>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</si>
  <si>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</si>
  <si>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</si>
  <si>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</si>
  <si>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</si>
  <si>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GOSPODARKA KOMUNALNA I OCHRONA ŚRODOWISKA</t>
  </si>
  <si>
    <t>KULTURA I OCHRONA DZIEDZICTWA NARODOWEGO</t>
  </si>
  <si>
    <t>OGÓŁEM</t>
  </si>
  <si>
    <t>Rozdział</t>
  </si>
  <si>
    <t>Paragraf</t>
  </si>
  <si>
    <t>Treść</t>
  </si>
  <si>
    <t>Dotacje otrzymane z funduszy celowych na finansowanie lub dofinansowanie kosztów realizacji inwestycji i zakupów inwestycyjnych jednostek sektora finansów publicznych</t>
  </si>
  <si>
    <t>Środki na dofinansowanie własnych inwestycji gmin (związków gmin), powiatów (związków powiatów), samorządów województw, pozyskane z innych źródeł</t>
  </si>
  <si>
    <t>Drogi publiczne gminne</t>
  </si>
  <si>
    <t>Zakłady gospodarki mieszkaniowej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</si>
  <si>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</si>
  <si>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</si>
  <si>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</si>
  <si>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</si>
  <si>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</si>
  <si>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</si>
  <si>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</si>
  <si>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</si>
  <si>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</si>
  <si>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0970</t>
  </si>
  <si>
    <t>Wpływy z różnych dochodów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</si>
  <si>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</si>
  <si>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</si>
  <si>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</si>
  <si>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 (miast i miast na prawach powiatu)</t>
  </si>
  <si>
    <t>2708</t>
  </si>
  <si>
    <t>Środki na dofinansowanie własnych zadań bieżących gmin (związków gmin), powiatów (związków powiatów), samorządów województw, pozyskane z innych źródeł</t>
  </si>
  <si>
    <t>Pozostała działalność</t>
  </si>
  <si>
    <t>BEZPIECZEŃSTWO PUBLICZNE I OCHRONA</t>
  </si>
  <si>
    <t>PRZECIWPOŻAROWA</t>
  </si>
  <si>
    <t>Straż Miejska</t>
  </si>
  <si>
    <t>0570</t>
  </si>
  <si>
    <t>Grzywny, mandaty i inne kary pieniężne od osób fizycznych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</si>
  <si>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</si>
  <si>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</si>
  <si>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</si>
  <si>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podatku od czynności</t>
  </si>
  <si>
    <t>cywilnoprawnych, podatków i opłat lokalnych od osób prawnych</t>
  </si>
  <si>
    <t>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</si>
  <si>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</si>
  <si>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</si>
  <si>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</si>
  <si>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</si>
  <si>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</si>
  <si>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</si>
  <si>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</si>
  <si>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</si>
  <si>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</si>
  <si>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</si>
  <si>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0690</t>
  </si>
  <si>
    <t>Wpływy z różnych opłat</t>
  </si>
  <si>
    <t>0910</t>
  </si>
  <si>
    <t>Odsetki od nieterminowych wpłat z tytułu podatków i opłat</t>
  </si>
  <si>
    <t>2680</t>
  </si>
  <si>
    <t>Rekompensaty utraconych dochodów w podatkach i opłatach lokalnych</t>
  </si>
  <si>
    <t>Wpływy z podatku rolnego, podatku leśnego, podatku od spadków i darowizn,</t>
  </si>
  <si>
    <t>podatku od czynności cywilnoprawnych oraz podatków i opłat lokalnych</t>
  </si>
  <si>
    <t>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</si>
  <si>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</si>
  <si>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</si>
  <si>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</si>
  <si>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</si>
  <si>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</si>
  <si>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</si>
  <si>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0560</t>
  </si>
  <si>
    <t>Zaległości z podatków zniesionych</t>
  </si>
  <si>
    <t>Wpływy z innych opłat stanowiących dochody</t>
  </si>
  <si>
    <t>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</si>
  <si>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</si>
  <si>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</si>
  <si>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</si>
  <si>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</si>
  <si>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</si>
  <si>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</si>
  <si>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</si>
  <si>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</si>
  <si>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</si>
  <si>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</si>
  <si>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 xml:space="preserve">Udziały gmin w podatkach stanowiących </t>
  </si>
  <si>
    <t>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</si>
  <si>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</si>
  <si>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</si>
  <si>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</si>
  <si>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</si>
  <si>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</si>
  <si>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2920</t>
  </si>
  <si>
    <t>Subwencje ogólne z budżetu państwa</t>
  </si>
  <si>
    <t>Różne rozliczenia finansowe</t>
  </si>
  <si>
    <t>Część równoważąca subwencji ogólnej dla gmin</t>
  </si>
  <si>
    <t>Szkoły podstawowe</t>
  </si>
  <si>
    <t>Przedszkola</t>
  </si>
  <si>
    <t>6260</t>
  </si>
  <si>
    <t>Gimnazja</t>
  </si>
  <si>
    <t>2030</t>
  </si>
  <si>
    <t>Dotacje celowe otrzymane z budżetu państwa na realizację własnych zadań bieżących gmin (związków gmin)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</si>
  <si>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</si>
  <si>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</si>
  <si>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na ubezpieczenia emerytalne i rentowe z ubezpieczenia społecznego</t>
  </si>
  <si>
    <t>Zasiłki i pomoc w naturze oraz składki na ubezpieczenia emerytalne i rentowe</t>
  </si>
  <si>
    <t>Ośrodki pomocy społecznej</t>
  </si>
  <si>
    <t>Usługi opiekuńcze i specjalistyczne usługi opiekuńcze</t>
  </si>
  <si>
    <t>0830</t>
  </si>
  <si>
    <t>Wpływy z usług</t>
  </si>
  <si>
    <t>Gospodarka ściekowa i ochrona wód</t>
  </si>
  <si>
    <t>Gospodarka odpadami</t>
  </si>
  <si>
    <t>Dotacje otrzymane z funduszy celowych na realizację zadań bieżących jednostek sektora finansów publicznych</t>
  </si>
  <si>
    <t>Utrzymanie zieleni w miastach i gminach</t>
  </si>
  <si>
    <t>2440</t>
  </si>
  <si>
    <t>Wpływy i wydatki związane z gromadzeniem środków</t>
  </si>
  <si>
    <t>z opłat produktowych</t>
  </si>
  <si>
    <t>0400</t>
  </si>
  <si>
    <t>Wpływy z opłaty produktowej</t>
  </si>
  <si>
    <t>Domy i ośrodki kultury, świetlice i kluby</t>
  </si>
  <si>
    <t>RAZEM</t>
  </si>
  <si>
    <t>Dotacje celowe otrzymane z budżetu państwa na realizację zadań</t>
  </si>
  <si>
    <t>bieżących z zakresu administracji rządowej oraz innych zadań</t>
  </si>
  <si>
    <t>zleconych gminie (związkom gmin) ustawami</t>
  </si>
  <si>
    <t>URZĘDY NACZELNYCH ORGANÓW WŁADZY PAŃSTWOWEJ</t>
  </si>
  <si>
    <t>Urzędy naczelnych organów władzy państwowej,</t>
  </si>
  <si>
    <t>kontroli i ochrony prawa</t>
  </si>
  <si>
    <t>Ośrodki wsparcia</t>
  </si>
  <si>
    <t xml:space="preserve">Składki na ubezpieczenia zdrowotne opłacane za osoby pobierające </t>
  </si>
  <si>
    <t>niektóre świadczenia z pomocy społecznej, niektóre świadczenia rodzinne</t>
  </si>
  <si>
    <t>oraz za osoby uczestniczące w zajęciach w centrum integracji społecznej</t>
  </si>
  <si>
    <t>Drogi publiczne wojewódzkie</t>
  </si>
  <si>
    <t>Drogi publiczne powiatowe</t>
  </si>
  <si>
    <t>Dotacje celowe otrzymane z powiatu na zadania bieżące realizowane na podstawie porozumień (umów) między jednostkami samorządu terytorialnego</t>
  </si>
  <si>
    <t>Wyszczególnienie</t>
  </si>
  <si>
    <t xml:space="preserve">   Dochody ogółem:</t>
  </si>
  <si>
    <t xml:space="preserve">   1. Dochody podatkowe:</t>
  </si>
  <si>
    <t xml:space="preserve">     a) podatek od nieruchomości</t>
  </si>
  <si>
    <t xml:space="preserve">     b) podatek od środków transportowych</t>
  </si>
  <si>
    <t xml:space="preserve">     c) opłata od posiadania psów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</si>
  <si>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</si>
  <si>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</si>
  <si>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</si>
  <si>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</si>
  <si>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h) podatek od czynności cywilnoprawnych</t>
  </si>
  <si>
    <t xml:space="preserve">     i ) udziały w podatkach stanowiących</t>
  </si>
  <si>
    <t xml:space="preserve">         dochód budżetu państwa:</t>
  </si>
  <si>
    <t xml:space="preserve">         - w podatku doch. od osób fizycznych</t>
  </si>
  <si>
    <t xml:space="preserve">         - w podatku doch. od osób prawnych</t>
  </si>
  <si>
    <t xml:space="preserve">     j ) podatek rolny</t>
  </si>
  <si>
    <t xml:space="preserve">     k) podatek leśny</t>
  </si>
  <si>
    <t xml:space="preserve">     ł ) opłata eksploatacyjna</t>
  </si>
  <si>
    <t xml:space="preserve">    m) opłata skarbowa</t>
  </si>
  <si>
    <t xml:space="preserve">     n) rekompensaty utraconych dochodów podatkowych</t>
  </si>
  <si>
    <t xml:space="preserve">     o) odsetki</t>
  </si>
  <si>
    <t xml:space="preserve">     p) pozostałe</t>
  </si>
  <si>
    <t xml:space="preserve">  2. Dochody z majątku gminy:</t>
  </si>
  <si>
    <t xml:space="preserve">     a) wieczyste użytkowanie, zarząd, użytkowanie</t>
  </si>
  <si>
    <t xml:space="preserve">     b) dzierżawa gruntu i mienia, w tym:</t>
  </si>
  <si>
    <t xml:space="preserve">        - dzierżawa na targowisku</t>
  </si>
  <si>
    <t xml:space="preserve">     c) sprzedaż mienia</t>
  </si>
  <si>
    <t xml:space="preserve">     d) pozostałe</t>
  </si>
  <si>
    <t xml:space="preserve">  3. Subwencje:</t>
  </si>
  <si>
    <t xml:space="preserve">     a) część oświatowa subwencji ogólnej dla jst</t>
  </si>
  <si>
    <t xml:space="preserve">     b) część równoważąca subwencji ogólnej dla gmin</t>
  </si>
  <si>
    <t xml:space="preserve">  4. Dotacje i środki:</t>
  </si>
  <si>
    <t xml:space="preserve">     a) na zadania własne, z tego:</t>
  </si>
  <si>
    <t xml:space="preserve">          - z budżetu państwa</t>
  </si>
  <si>
    <t xml:space="preserve">         - dotacje z budżetu państwa</t>
  </si>
  <si>
    <t xml:space="preserve">  5. Pozostałe dochody</t>
  </si>
  <si>
    <t>w tym:</t>
  </si>
  <si>
    <t>010</t>
  </si>
  <si>
    <t>ROLNICTWO I ŁOWIECTWO</t>
  </si>
  <si>
    <t>DZIAŁALNOŚĆ USŁUGOWA</t>
  </si>
  <si>
    <t>01095</t>
  </si>
  <si>
    <t>Lokalny transport zbiorowy</t>
  </si>
  <si>
    <t>Zadania w zakresie upowszechniania turystyki</t>
  </si>
  <si>
    <t>Opracowania geodezyjne i kartograficzne</t>
  </si>
  <si>
    <t>Oddziały przedszkolne w szkołach podstawowych</t>
  </si>
  <si>
    <t xml:space="preserve"> </t>
  </si>
  <si>
    <t>Dokształcanie i doskonalenie nauczycieli</t>
  </si>
  <si>
    <t>Żłobki</t>
  </si>
  <si>
    <t>Pomoc materialna dla uczniów</t>
  </si>
  <si>
    <t>Ochrona zabytków i opieka nad zabytkami</t>
  </si>
  <si>
    <t>Wykonanie</t>
  </si>
  <si>
    <t>Realizacja                                     3:2</t>
  </si>
  <si>
    <t>Realizacja                  4:3</t>
  </si>
  <si>
    <t xml:space="preserve">Wykonanie </t>
  </si>
  <si>
    <t>0580</t>
  </si>
  <si>
    <t>Wpływy ze zwrotów dotacji wykorzystanych niezgodnie z przeznaczeniem lub pobranych w nadmiernej wysokości</t>
  </si>
  <si>
    <t>Grzywny i inne kary pieniężne od osób prawnych i innych jednostek organizacyjnych</t>
  </si>
  <si>
    <t xml:space="preserve">Dotacje rozwojowe oraz środki na finansowanie Wspólnej Polityki Rolnej </t>
  </si>
  <si>
    <t>Wpłata do budżetu nadwyżki środków obrotowych przez zakład budżetowy</t>
  </si>
  <si>
    <t xml:space="preserve">     d) na zadania realizowane przez gminę wspólnie w drodze umów lub porozumień </t>
  </si>
  <si>
    <t>EDUKACJA OPIEKA WYCHOWAWCZA</t>
  </si>
  <si>
    <t>6208</t>
  </si>
  <si>
    <t>Dotacje rozwojowe</t>
  </si>
  <si>
    <t>Dotacje celowe otrzymane z powiatu na inwestycje i zakupy inwestycyjne realizowane na podstawie porozumień (umów) między jednostkami samorządu terytorialnego</t>
  </si>
  <si>
    <t>Wpływy z tytułu pomocy finansowej udzielanej między jednostkami samorządu terytorialnego na dofinansowanie własnych zadań inwestycyjnych i zakupów inwestycyjnych</t>
  </si>
  <si>
    <t>2709</t>
  </si>
  <si>
    <t>Zasiłki i pomoc w naturze oraz składki na ubezpieczenie emerytalne i rentowe</t>
  </si>
  <si>
    <t>Realizacja                  6:5</t>
  </si>
  <si>
    <t xml:space="preserve">               ∙ ze środków pomocowych</t>
  </si>
  <si>
    <t xml:space="preserve">               ∙ z budżetu państwa na sfinansowanie wkładu własnego</t>
  </si>
  <si>
    <t xml:space="preserve">               ∙ z Gminnego Funduszu Ochrony Środowiska i Gospodarki Wodnej</t>
  </si>
  <si>
    <t xml:space="preserve">               ∙ z Wojewódzkiego Funduszu Ochrony Środowiska i Gospodarki Wodnej</t>
  </si>
  <si>
    <t xml:space="preserve">               ∙ z Powiatowego Funduszu Ochrony Środowiska i Gospodarki Wodnej</t>
  </si>
  <si>
    <t xml:space="preserve">         między jednostkami samorządu terytorialnego:</t>
  </si>
  <si>
    <t xml:space="preserve">               ∙ z budżetu państwa na dofinansowanie wkładu własnego</t>
  </si>
  <si>
    <t>Środki otrzymane od pozostałych jednostek zaliczanych do sektora finansów publicznych na realizację zadań bieżących jednostek zaliczanych do sektora finansów publicznych</t>
  </si>
  <si>
    <t xml:space="preserve">     e) na zadania realizowane przez gminę w drodze umów lub porozumień </t>
  </si>
  <si>
    <t xml:space="preserve">         z organami administracji rządowej, z tego:</t>
  </si>
  <si>
    <t>Prywatyzacja</t>
  </si>
  <si>
    <t xml:space="preserve">     c) na zadania realizowane przez gminę na podstawie porozumień, z tego:</t>
  </si>
  <si>
    <t xml:space="preserve">     b) na zadania z zakresu administracji rządowej oraz inne zlecone ustawami:</t>
  </si>
  <si>
    <t xml:space="preserve">         z tego:</t>
  </si>
  <si>
    <t xml:space="preserve">Świadczenia rodzinne, świadczenie z funduszu alimentacyjnego oraz składki </t>
  </si>
  <si>
    <t>Grzywny, mandaty i kary pieniężne od osób fizycznych</t>
  </si>
  <si>
    <t>Wpływy z rożnych opłat</t>
  </si>
  <si>
    <t>6298</t>
  </si>
  <si>
    <t>2705</t>
  </si>
  <si>
    <t xml:space="preserve">           - z budżetu państwa</t>
  </si>
  <si>
    <t xml:space="preserve">           - rozwojowe z Programu Operacyjnego Kapitał Ludzki, z tego:</t>
  </si>
  <si>
    <t xml:space="preserve">           - z Polsko - Niemieckiej Współpracy Młodzieży</t>
  </si>
  <si>
    <t xml:space="preserve">                 oraz Narodowego Funduszu Ochrony Środowiska i Gospodarki Wodnej</t>
  </si>
  <si>
    <t xml:space="preserve">           - z funduszy strukturalnych INTERREG IV</t>
  </si>
  <si>
    <t xml:space="preserve">           - z Fundacji Współpracy Polsko - Niemieckiej</t>
  </si>
  <si>
    <t xml:space="preserve">         - dotacja z budżetu państwa</t>
  </si>
  <si>
    <t xml:space="preserve">         - dotacja z powiatu polickiego</t>
  </si>
  <si>
    <t xml:space="preserve">         - dotacja rozwojowa ze środków pomocowych</t>
  </si>
  <si>
    <t xml:space="preserve">         - dotacje rozwojowe w ramach Programu Operacyjnego Kapitał Ludzki, z tego:</t>
  </si>
  <si>
    <t xml:space="preserve">               ∙ ze Europejskiego Funduszu Społecznego</t>
  </si>
  <si>
    <t>2910</t>
  </si>
  <si>
    <t xml:space="preserve">           - z funduszy strukturalnych INTERREG III A</t>
  </si>
  <si>
    <t xml:space="preserve">           - z powiatu polickiego</t>
  </si>
  <si>
    <t xml:space="preserve">           - rozwojowe ze środków pomocowych</t>
  </si>
  <si>
    <t xml:space="preserve">           - z funduszy celowych, z tego:</t>
  </si>
  <si>
    <r>
      <t xml:space="preserve">        - </t>
    </r>
    <r>
      <rPr>
        <u val="single"/>
        <sz val="10"/>
        <rFont val="Arial CE"/>
        <family val="0"/>
      </rPr>
      <t>dotacje</t>
    </r>
    <r>
      <rPr>
        <sz val="10"/>
        <rFont val="Arial CE"/>
        <family val="2"/>
      </rPr>
      <t>, z tego:</t>
    </r>
  </si>
  <si>
    <r>
      <t xml:space="preserve">        - </t>
    </r>
    <r>
      <rPr>
        <u val="single"/>
        <sz val="10"/>
        <rFont val="Arial CE"/>
        <family val="0"/>
      </rPr>
      <t>środki</t>
    </r>
    <r>
      <rPr>
        <sz val="10"/>
        <rFont val="Arial CE"/>
        <family val="2"/>
      </rPr>
      <t>, z tego:</t>
    </r>
  </si>
  <si>
    <t>Wybory do Parlamenty Europejskiego</t>
  </si>
  <si>
    <t xml:space="preserve">           - z Narodowego Centrum Kultury</t>
  </si>
  <si>
    <t>DOCHODY OD OSÓB PRAWNYCH, OD OSÓB FIZYCZNYCH</t>
  </si>
  <si>
    <t>1.1.1. Zestawienie wykonania dochodów budżetu Gminy Police według działów, rozdziałów i paragrafów klasyfikacji budżetowej</t>
  </si>
  <si>
    <t>1.1.1.1. Ogółem według działów.</t>
  </si>
  <si>
    <t>1.1.1.2. Dochody związane z realizacją zadań własnych.</t>
  </si>
  <si>
    <t>1.1.1.3. Dochody związane z realizacją zadań zleconych z zakresu administracji rządowej i innych zadań zleconych ustawami.</t>
  </si>
  <si>
    <t>1.1.1.5. Dochody związane z realizacją zadań wspólnych wykonywanych w drodze umów lub porozumień między jednostkami samorządu terytorialnego.</t>
  </si>
  <si>
    <t xml:space="preserve">1.4.2. Dotacje celowe na zadania własne Gminy realizowane przez podmioty </t>
  </si>
  <si>
    <t xml:space="preserve">          nienależące do sektora finansów publicznych.</t>
  </si>
  <si>
    <t>Poz.</t>
  </si>
  <si>
    <t>Realizacja
6:5</t>
  </si>
  <si>
    <t>Regionalny Oddział Szczeciński im. Stefana Kaczmarka</t>
  </si>
  <si>
    <t>Polskie Towarzystwo Turystyczno-Krajoznawcze Oddział</t>
  </si>
  <si>
    <t>Zachodniopomorski w Szczecinie</t>
  </si>
  <si>
    <t>Stowarzyszenie Przyjaciół Ziemi Polickiej "Skarb"</t>
  </si>
  <si>
    <t>Zadania w zakresie ochrony zdrowia</t>
  </si>
  <si>
    <t>Polickie Stowarzyszenie Abstynentów</t>
  </si>
  <si>
    <t>"Ostoja" w Policach</t>
  </si>
  <si>
    <t>Towarzystwo Przyjaciół Dzieci Zachodniopomorskie</t>
  </si>
  <si>
    <t>Koło Pomocy Chorym na Fenyloketonurię</t>
  </si>
  <si>
    <t>Stowarzyszenie Hospicjum Królowej Apostołów</t>
  </si>
  <si>
    <t>Polskie Stowarzyszenie Diabetyków</t>
  </si>
  <si>
    <t>Zachodniopomorski Zarząd Wojewódzki</t>
  </si>
  <si>
    <t>Koło w Policach</t>
  </si>
  <si>
    <t>Fundacja Zachodniopomorskie Hospicjum dla Dzieci</t>
  </si>
  <si>
    <t>Hospicjum św. Jana Ewangelisty</t>
  </si>
  <si>
    <t>Zadania w zakresie pomocy społecznej</t>
  </si>
  <si>
    <t>Polskie Stowarzyszenie na Rzecz Osób z Upośledzeniem</t>
  </si>
  <si>
    <t xml:space="preserve">Umysłowym Koło Terenowe w Policach </t>
  </si>
  <si>
    <t>Prowadzenie Środowiskowego Domu Samopomocy</t>
  </si>
  <si>
    <t>Zachodniopomorskie Centrum Pomocy Bliźniemu</t>
  </si>
  <si>
    <t xml:space="preserve">Monar - Markot </t>
  </si>
  <si>
    <t>Zadania w zakresie polityki społecznej</t>
  </si>
  <si>
    <t>Zadania w zakresie edukacyjnej opieki wychowawczej</t>
  </si>
  <si>
    <t>Parafia Rzymskokatolicka pw. św. Kazimierza</t>
  </si>
  <si>
    <t>w Policach</t>
  </si>
  <si>
    <t>Związek Harcerstwa Polskiego</t>
  </si>
  <si>
    <t>Chorągiew Zachodniopomorska</t>
  </si>
  <si>
    <t>Towarzystwo Przyjaciół Dzieci</t>
  </si>
  <si>
    <t>Zachodniopomorski Oddział Regionalny</t>
  </si>
  <si>
    <t xml:space="preserve">Towarzystwo Przyjaciół Dzieci Zachodniopomorski </t>
  </si>
  <si>
    <t xml:space="preserve"> Oddział Regionalny </t>
  </si>
  <si>
    <t>Zadania w zakresie kultury i ochrony dziedzictwa narodowego</t>
  </si>
  <si>
    <t>Parafia Rzymskokatolicka pw. Wniebowzięcia NMP</t>
  </si>
  <si>
    <t>Parafia Rzymskokatolicka pw. Piotra i Pawła</t>
  </si>
  <si>
    <t>Polickie Towarzystwo Strzeleckie i Miłośników</t>
  </si>
  <si>
    <t>Broni Dawnej "Grajcar"</t>
  </si>
  <si>
    <t>Regionalne Stowarzyszenie Literacko-Artystyczne</t>
  </si>
  <si>
    <t>Polickie Stowarzyszenie Piłki Siatkowej</t>
  </si>
  <si>
    <t>LKS "Rybak" w Trzebieży</t>
  </si>
  <si>
    <t>AKS "Promień" w Policach</t>
  </si>
  <si>
    <t>Nauczycielski Klub Szachowy</t>
  </si>
  <si>
    <t>"Śmiały" w Policach</t>
  </si>
  <si>
    <t>TKKF "Tytan" w Policach</t>
  </si>
  <si>
    <t>UKL "Ósemka" w Policach</t>
  </si>
  <si>
    <t>UKS "Chemiczek" w Policach</t>
  </si>
  <si>
    <t>UKS "Activ" w Policach</t>
  </si>
  <si>
    <t>UKS "Trójka" w Policach</t>
  </si>
  <si>
    <t>IUKP "Wodnik" w Policach</t>
  </si>
  <si>
    <t>UKŻ "Bras" w Policach</t>
  </si>
  <si>
    <t xml:space="preserve">UKS "Błyskawica" w Policach </t>
  </si>
  <si>
    <t>UKS "Fala" w Trzebieży</t>
  </si>
  <si>
    <t>UKS Champion w Policach</t>
  </si>
  <si>
    <t>Klub Aikido "Shugyo"</t>
  </si>
  <si>
    <t>x</t>
  </si>
  <si>
    <t>Polski Związek Emerytów, Rencistów i Inwalidów</t>
  </si>
  <si>
    <t>Zarząd Oddziału Rejonowego w Policach</t>
  </si>
  <si>
    <t>Policka Inicjatywa Społeczna "Impuls"</t>
  </si>
  <si>
    <t>Policki Uniwersytet Trzeciego Wieku</t>
  </si>
  <si>
    <t>Klub Piłkarski "Chemik Police"</t>
  </si>
  <si>
    <t>Klub Sportów Walki</t>
  </si>
  <si>
    <t>1.4.3. Pozostałe dotacje na zadania publiczne.</t>
  </si>
  <si>
    <t xml:space="preserve"> - Dotacja dla Gminy Miasta Szczecin</t>
  </si>
  <si>
    <t xml:space="preserve">   z tytułu uczęszczania dzieci z Gminy Police</t>
  </si>
  <si>
    <t xml:space="preserve">   do przedszkoli niepublicznych w Szczecinie</t>
  </si>
  <si>
    <t xml:space="preserve">   do Przedszkola Specjalnego nr 21 w Szczecinie</t>
  </si>
  <si>
    <t xml:space="preserve"> - Dotacja dla Gminy Miasta Szczecin                                                                          </t>
  </si>
  <si>
    <t xml:space="preserve">    na działania profilaktyczne dla osób </t>
  </si>
  <si>
    <t xml:space="preserve">    zagrożonych uzależnieniem od alkoholu</t>
  </si>
  <si>
    <t>Nazwa zadania</t>
  </si>
  <si>
    <t>Jednostka samorządu terytorialnego</t>
  </si>
  <si>
    <t xml:space="preserve">Zintegrowany projekt zakupu autobusów </t>
  </si>
  <si>
    <t>dla SPPK Sp. z o.o.</t>
  </si>
  <si>
    <t>Województwo Zachodniopomorskie</t>
  </si>
  <si>
    <t>Studium wykonalności obwodnicy Szczecina</t>
  </si>
  <si>
    <t>Powiat Policki</t>
  </si>
  <si>
    <t>Przebudowa drogi powiatowej nr 0613Z</t>
  </si>
  <si>
    <t>Pilchowo - Police (odcinek Pilchowo-Siedlice)</t>
  </si>
  <si>
    <t>Gmina Kamień Pomorski</t>
  </si>
  <si>
    <t>Budowa lokali socjalnych dla poszkodowanych</t>
  </si>
  <si>
    <t xml:space="preserve">w pożarze przy ul. Wolińskiej w Kamieniu </t>
  </si>
  <si>
    <t>Pomorskim</t>
  </si>
  <si>
    <t>Remont pływalni przy ul. Siedleckiej w Policach</t>
  </si>
  <si>
    <t xml:space="preserve"> - Dotacja celowa dla Powiatu Polickiego</t>
  </si>
  <si>
    <t xml:space="preserve">   na remont samochodu wysokościowego SD-30</t>
  </si>
  <si>
    <t xml:space="preserve">   dla Komendy Powiatowej Państwowej Straży Pożarnej</t>
  </si>
  <si>
    <t xml:space="preserve"> - Miejski Ośrodek Kultury w Policach</t>
  </si>
  <si>
    <t xml:space="preserve"> - Biblioteka im. M. Skłodowskiej-Curie w Policach</t>
  </si>
  <si>
    <t xml:space="preserve">   w Policach</t>
  </si>
  <si>
    <t>Zadania w zakresie działalności na rzecz wspierania osób niepełnosprawnych</t>
  </si>
  <si>
    <t>Umysłowym Koło Terenowe w Policach</t>
  </si>
  <si>
    <t>Fundacja Pomocy Chorym na Zanik Mięśni</t>
  </si>
  <si>
    <t>Polski Związek Niewidomych</t>
  </si>
  <si>
    <t>Okręg Zachodniopomorski Koło w Policach</t>
  </si>
  <si>
    <t>"Polskie Amazonki"</t>
  </si>
  <si>
    <t>Polski Związek Głuchych Oddz. Zachodniopomorski</t>
  </si>
  <si>
    <t>Stowarzyszenie na Rzecz Osób Niepełnosprawnych</t>
  </si>
  <si>
    <t>"Amicus"</t>
  </si>
  <si>
    <t>Polski Związek Głuchych Centrum Diagnozy i Rehabilitacji</t>
  </si>
  <si>
    <t>Dzieci i Młodzieży oraz Osób Dorosłych z Uszkodzonym</t>
  </si>
  <si>
    <t>Słuchem im. M. Góralówny</t>
  </si>
  <si>
    <t>Pozostałe</t>
  </si>
  <si>
    <t>Krajowe Towarzystwo Autyzmu</t>
  </si>
  <si>
    <t>Docieplenie ścian budynku przy ul. Szkolnej 2</t>
  </si>
  <si>
    <t>1.1. Zestawienie wykonania dochodów budżetu Gminy Police.</t>
  </si>
  <si>
    <t>1.1.1.6. Dochody podlegające przekazaniu do budżetu państwa.</t>
  </si>
  <si>
    <t>ubezpieczenia emerytalne i rentowe z ubezpieczenia społecznego</t>
  </si>
  <si>
    <t xml:space="preserve"> - w zakresie przeciwdziałania patologiom społecznym poprzez prowadzenie działalności na rzecz niepijących alkoholików</t>
  </si>
  <si>
    <t xml:space="preserve"> - w zakresie pomocy osobom chorym na fenyloketonurię i cukrzycę, opieka hospicyjna i inne</t>
  </si>
  <si>
    <t xml:space="preserve"> - w zakresie prowadzenia Środowiskowego Domu Samopomocy</t>
  </si>
  <si>
    <t xml:space="preserve"> - w zakresie przeciwdziałania bezdomności poprzez prowadzenie schroniska dla bezdomnych matek z dziećmi</t>
  </si>
  <si>
    <t xml:space="preserve"> - w zakresie organizacji wypoczynku dzieci i młodzieży szkolnej</t>
  </si>
  <si>
    <t xml:space="preserve"> - w zakresie prowadzenia środowiskowych ognisk wychowawczych</t>
  </si>
  <si>
    <t xml:space="preserve"> - w zakresie ochrony zabytków wpisanych do rejestru zabytków </t>
  </si>
  <si>
    <t xml:space="preserve"> - w  zakresie podtrzymywania tradycji narodowej, pielęgnowania polskości oraz rozwoju świadomości narodowej, obywatelskiej, kulturowej</t>
  </si>
  <si>
    <t>Zadania w zakresie upowszechniania kultury fizycznej i sportu</t>
  </si>
  <si>
    <t xml:space="preserve"> - w zakresie aktywizacji ludzi starszych, w tym emerytów i rencistów oraz w zakresie wspomagania technicznego, szkoleniowego i informacyjnego polickich organizacji pozarządowych</t>
  </si>
  <si>
    <t>Polski Związek Niewidomych Okręg Zachodniopomorski</t>
  </si>
  <si>
    <t>podmiotowe na wydatki bieżące</t>
  </si>
  <si>
    <t>celowe</t>
  </si>
  <si>
    <t>na wydatki bieżące</t>
  </si>
  <si>
    <t>na wydatki inwestycyjne</t>
  </si>
  <si>
    <t>INSTYTUCJE KULTURY</t>
  </si>
  <si>
    <t>Wykonanie                                                 6:5</t>
  </si>
  <si>
    <t>POZOSTAŁE PODMIOTY:</t>
  </si>
  <si>
    <t>Realizacja                              7:6</t>
  </si>
  <si>
    <t>Zadania w zakresie obsługi prawnej na rzecz najuboższych z terenu Gminy Police</t>
  </si>
  <si>
    <t>Gmina Miasto Szczecin</t>
  </si>
  <si>
    <t>Zakres działania</t>
  </si>
  <si>
    <t>Stowarzyszenie Kobiet po Mastektomii</t>
  </si>
  <si>
    <t>Dotacje celowe otrzymane z budżetu państwa na inwestycje i zakupy inwestycyjne realizowane przez gminę na podstawie porozumień z organami administracji rządowej</t>
  </si>
  <si>
    <t>Wpływy do budżetu nadwyżki środków obrotowych zakładu budżetowego</t>
  </si>
  <si>
    <t xml:space="preserve">Świadczenia rodzinne, świadczenie z funduszu alimentacyjnego oraz składki na </t>
  </si>
  <si>
    <t xml:space="preserve">1.5. Wydatki na programy i projekty realizowane ze środków, o których mowa w art. 5 ust. 1 pkt 2 i 3 ustawy o finansach publicznych,
       w części związanej z realizacją zadań gminy. </t>
  </si>
  <si>
    <t>Lp.</t>
  </si>
  <si>
    <t>Nazwa programu</t>
  </si>
  <si>
    <t>Nazwa projektu</t>
  </si>
  <si>
    <t>Jednostka organizacyjna realizująca program
lub koordynująca wykonywanie programu</t>
  </si>
  <si>
    <t>Okres realizacji</t>
  </si>
  <si>
    <t>Łączne nakłady finansowe</t>
  </si>
  <si>
    <t>Koszty kwalifikowane 
w ramach projektu</t>
  </si>
  <si>
    <t>Realizacja
12:11</t>
  </si>
  <si>
    <t>Rok rozpoczęcia</t>
  </si>
  <si>
    <t>Rok zakończenia</t>
  </si>
  <si>
    <t>środki budżetowe</t>
  </si>
  <si>
    <t>dotacje z GFOŚiGW</t>
  </si>
  <si>
    <t>środki pomocowe</t>
  </si>
  <si>
    <t>inne środki</t>
  </si>
  <si>
    <t>1.</t>
  </si>
  <si>
    <t xml:space="preserve"> INTERREG IV</t>
  </si>
  <si>
    <t>Wydział UA</t>
  </si>
  <si>
    <t>2.</t>
  </si>
  <si>
    <t>Regionalny Program Operacyjny dla województwa zachodniopomorskiego</t>
  </si>
  <si>
    <t>Wydział TI</t>
  </si>
  <si>
    <t>3.</t>
  </si>
  <si>
    <t>Szkoła Podstawowa nr 8 
w Policach</t>
  </si>
  <si>
    <t>4.</t>
  </si>
  <si>
    <t>Program Operacyjny Kapitał Ludzki</t>
  </si>
  <si>
    <t>Ośrodek Pomocy Społecznej 
w Policach</t>
  </si>
  <si>
    <t>5.</t>
  </si>
  <si>
    <t>"Skrzydła dla najmłodszych - wyrównywanie szans w dostępie do edukacji przedszkolnej 
w Policach" 
nr projektu POKL/1/9.1.1/12/08</t>
  </si>
  <si>
    <t>Wydział PI</t>
  </si>
  <si>
    <t>6.</t>
  </si>
  <si>
    <t>"Język angielski szansą zdobycia lepszego wykształcenia w Trzebieży" 
nr projektu POKL/1/9.5/90-2/07</t>
  </si>
  <si>
    <t>7.</t>
  </si>
  <si>
    <t>"Łatwiejszy dostęp do edukacji poprzez kurs języka niemieckiego w Pilchowie" 
nr projektu POKL/1/9.5/91-2/07</t>
  </si>
  <si>
    <t>8.</t>
  </si>
  <si>
    <t>"Edukacja i kultura w Tanowie - teatr i literatura bez tajemnic" 
nr projektu POKL/1/9.5/92-1/07</t>
  </si>
  <si>
    <t>9.</t>
  </si>
  <si>
    <t>"Język angielski szansą lepszego wykształcenia" 
nr projektu POKL/1/9.5/93-2/07</t>
  </si>
  <si>
    <t>10.</t>
  </si>
  <si>
    <t>"Łatwiejszy dostęp do edukacji poprzez kurs języka niemieckiego w Tanowie" 
nr projektu POKL/1/9.5/94-2/07</t>
  </si>
  <si>
    <t>11.</t>
  </si>
  <si>
    <t>"Nauka języka angielskiego szansą podnoszenia poziomu wykształcenia i kwalifikacji" 
nr projektu POKL/1/9.5/95-2/07</t>
  </si>
  <si>
    <t>12.</t>
  </si>
  <si>
    <t>"Edukacja i kultura w Pilchowie - teatr i literatura bez tajemnic" 
nr projektu POKL/1/9.5/96-1/07</t>
  </si>
  <si>
    <t>13.</t>
  </si>
  <si>
    <t>"Łatwiejszy dostęp do edukacji poprzez  kurs języka niemieckiego w Trzebieży" 
nr projektu POKL/1/9.5/97-2/07</t>
  </si>
  <si>
    <t>14.</t>
  </si>
  <si>
    <t>"Język angielski szansą zdobycia lepszego wykształcenia w Drogoradzu" 
nr projektu POKL/1/9.5/98-2/07</t>
  </si>
  <si>
    <t>15.</t>
  </si>
  <si>
    <t>"Dostęp do edukacji na wsi - dziennikarstwo, literatura i język polski" 
nr projektu POKL/1/9.5/99-1/07</t>
  </si>
  <si>
    <t>16.</t>
  </si>
  <si>
    <t>"Język angielski szansą lepszego wykształcenia w Przęsocinie" 
nr projektu POKL/1/9.5/100-2/07</t>
  </si>
  <si>
    <t>17.</t>
  </si>
  <si>
    <t>"Język angielski - lepsze wykształcenie, lepsze kwalifikacje, lepsza przyszłość" 
nr projektu POKL/1/9.5/101-2/07</t>
  </si>
  <si>
    <t>18.</t>
  </si>
  <si>
    <t>19.</t>
  </si>
  <si>
    <t>Program Rozwoju Obszarów Wiejskich</t>
  </si>
  <si>
    <t>Budowa świetlicy wiejskiej w Trzeszczynie</t>
  </si>
  <si>
    <t>Budowa parkingu przy ul. Piastów w Policach</t>
  </si>
  <si>
    <t xml:space="preserve">Polskie Towarzystwo Turystyczno - Krajoznawcze </t>
  </si>
  <si>
    <t xml:space="preserve">Dom dla Samotnych Matek z Dziećmi </t>
  </si>
  <si>
    <t>Plan na 2009 r.</t>
  </si>
  <si>
    <t>Budowa ścieżek rowerowych</t>
  </si>
  <si>
    <t>Wydział GKM</t>
  </si>
  <si>
    <t>Budowa systemu informacji przestrzennej GIS</t>
  </si>
  <si>
    <t>Fundacja Współpracy Polsko - Niemieckiej</t>
  </si>
  <si>
    <t>"Treibsand" - koniec wojny w oczach byłych mieszkańców Jasienicy</t>
  </si>
  <si>
    <t>Polsko - Niemiecka Współpraca Młodzieży Stowarzyszenia Gmin Polskich Euroregionu POMERANIA</t>
  </si>
  <si>
    <t>"Żyj zdrowo - czyli  w zdrowym ciele zdrowy duch i sprawny umysł"</t>
  </si>
  <si>
    <t>"Wigilijne spotkanie"</t>
  </si>
  <si>
    <t>Projekt modelowy "4x3 prosta sprawa" - projekt Wystawa plastyczno - fotograficzna "Znaki współpracy"</t>
  </si>
  <si>
    <t>Gimnazjum nr 1                         w Policach</t>
  </si>
  <si>
    <t>"Puszcza Wkrzańska jako obszar turystyczno - rekreacyjny dla powiatów przygranicznych Uecker - Randow i Polic"</t>
  </si>
  <si>
    <t>"De coupage"</t>
  </si>
  <si>
    <t>Gimnazjum nr 3                         w Policach</t>
  </si>
  <si>
    <t>"Święto Szkoły"</t>
  </si>
  <si>
    <t>20.</t>
  </si>
  <si>
    <t>21.</t>
  </si>
  <si>
    <t>22.</t>
  </si>
  <si>
    <t>23.</t>
  </si>
  <si>
    <t>"Język angielski - lepszy start, lepsze jutro" 
nr projektu POKL/1/9.5/233/08</t>
  </si>
  <si>
    <t>24.</t>
  </si>
  <si>
    <t>"Pobudka – obudź swój potencjał"</t>
  </si>
  <si>
    <t>25.</t>
  </si>
  <si>
    <t>Odprowadzanie ścieków i wód opadowych z rejonu ul. Tanowskiej w Policach i m. Trzeszczyn</t>
  </si>
  <si>
    <t>26.</t>
  </si>
  <si>
    <t>Program Operacyjny Infrastruktura i Środowisko</t>
  </si>
  <si>
    <t>Rozbudowa i modernizacja instalacji Zakładu Odzysku i Składowania Odpadów Komunalnych w Leśnie Górnym</t>
  </si>
  <si>
    <t>ZOiSOK</t>
  </si>
  <si>
    <t>27.</t>
  </si>
  <si>
    <t>INTERREG IV A</t>
  </si>
  <si>
    <t>Transgraniczny Ośrodek Edukacji Ekologicznej - projekt pn. "Życie nad Zalewem Szczecińskim i w Puszczy Wkrzańskiej - ekologia, edukacja i historia"</t>
  </si>
  <si>
    <t>Wydział OŚ</t>
  </si>
  <si>
    <t>28.</t>
  </si>
  <si>
    <t>29.</t>
  </si>
  <si>
    <t>Przebudowa świetlicy wiejskiej w Uniemyślu</t>
  </si>
  <si>
    <t xml:space="preserve">     l ) opłata za wydawanie zezwoleń na sprzedaż alkoholu</t>
  </si>
  <si>
    <t>1.2. Zestawienie wykonania wydatków budżetu Gminy Police.</t>
  </si>
  <si>
    <t>1.2.1. Zestawienie zbiorcze według działów klasyfikacji budżetowej.</t>
  </si>
  <si>
    <t>Stopień realizacji
4:3</t>
  </si>
  <si>
    <t>wydatki bieżące</t>
  </si>
  <si>
    <t>wydatki majątkowe</t>
  </si>
  <si>
    <t>dotacje</t>
  </si>
  <si>
    <t>wynagrodzenia
i pochodne od wynagrodzeń</t>
  </si>
  <si>
    <t>wydatki na obsługę długu</t>
  </si>
  <si>
    <t>wydatki z tytułu poręczeń i gwarancji</t>
  </si>
  <si>
    <t>11</t>
  </si>
  <si>
    <t>400</t>
  </si>
  <si>
    <t>WYTWARZANIE I ZAOPATRYWANIE W ENERGIĘ</t>
  </si>
  <si>
    <t>ELEKTRYCZNĄ, GAZ I WODĘ</t>
  </si>
  <si>
    <t>TURYSTYKA</t>
  </si>
  <si>
    <t xml:space="preserve">URZĘDY NACZELNYCH ORGANÓW WŁADZY </t>
  </si>
  <si>
    <t>PAŃSTWOWEJ, KONTROLI I OCHRONY</t>
  </si>
  <si>
    <t>PRAWA ORAZ SĄDOWNICTWA</t>
  </si>
  <si>
    <t xml:space="preserve">DOCHODY OD OSÓB PRAWNYCH, </t>
  </si>
  <si>
    <t>OD OSÓB FIZYCZNYCH I OD INNYCH JEDNOSTEK</t>
  </si>
  <si>
    <t>NIEPOSIADAJĄCYCH OSOBOWOŚCI PRAWNEJ</t>
  </si>
  <si>
    <t>OBSŁUGA DŁUGU PUBLICZNEGO</t>
  </si>
  <si>
    <t xml:space="preserve">POMOC SPOŁECZNA </t>
  </si>
  <si>
    <t>POZOSTAŁE ZADANIA W ZAKRESIE</t>
  </si>
  <si>
    <t>POLITYKI SPOŁECZNEJ</t>
  </si>
  <si>
    <t>EDUKACYJNA OPIEKA WYCHOWAWCZA</t>
  </si>
  <si>
    <t>GOSPODARKA KOMUNALNA</t>
  </si>
  <si>
    <t xml:space="preserve"> I OCHRONA ŚRODOWISKA</t>
  </si>
  <si>
    <t>KULTURA I OCHRONA DZIEDZICTWA</t>
  </si>
  <si>
    <t>NARODOWEGO</t>
  </si>
  <si>
    <t>KULTURA FIZYCZNA I SPORT</t>
  </si>
  <si>
    <t>1.2.2. Zestawienie wydatków związanych z realizacją zadań własnych według działów i rozdziałów klasyfikacji budżetowej.</t>
  </si>
  <si>
    <t>wynagrodzenia 
i pochodne od wynagrodzeń</t>
  </si>
  <si>
    <t>01008</t>
  </si>
  <si>
    <t>Melioracje wodne</t>
  </si>
  <si>
    <t>01030</t>
  </si>
  <si>
    <t>Izby rolnicze</t>
  </si>
  <si>
    <t>Dostarczanie wody</t>
  </si>
  <si>
    <t>Dostarczanie energii elektrycznej</t>
  </si>
  <si>
    <t>Dostarczanie paliw gazowych</t>
  </si>
  <si>
    <t>Plany zagospodarowania przestrzennego</t>
  </si>
  <si>
    <t>Rady gmin (miast i miast na prawach powiatu)</t>
  </si>
  <si>
    <t>Wybory do Parlamentu Europejskiego</t>
  </si>
  <si>
    <t>Promocja jednostek samorządu terytorialnego</t>
  </si>
  <si>
    <t>Komendy powiatowe Policji</t>
  </si>
  <si>
    <t>Komendy powiatowe Państwowej Straży Pożarnej</t>
  </si>
  <si>
    <t>Ochotnicze straże pożarne</t>
  </si>
  <si>
    <t>Zarządzanie kryzysowe</t>
  </si>
  <si>
    <t xml:space="preserve">Pobór podatków, opłat i niepodatkowych </t>
  </si>
  <si>
    <t>należności budżetowych</t>
  </si>
  <si>
    <t>Obsługa papierów wartościowych, kredytów</t>
  </si>
  <si>
    <t>i pożyczek jednostek samorządu terytorialnego</t>
  </si>
  <si>
    <t>Rezerwy ogólne i celowe</t>
  </si>
  <si>
    <t>Przedszkola specjalne</t>
  </si>
  <si>
    <t>Dowożenie uczniów do szkół</t>
  </si>
  <si>
    <t>Stołówki szkolne</t>
  </si>
  <si>
    <t>Programy polityki zdrowotnej</t>
  </si>
  <si>
    <t>Zwalczanie narkomanii</t>
  </si>
  <si>
    <t>Przeciwdziałanie alkoholizmowi</t>
  </si>
  <si>
    <t xml:space="preserve">Składki na ubezpieczenia zdrowotne opłacane za osoby </t>
  </si>
  <si>
    <t>pobierające niektóre świadczenia z pomocy społecznej,</t>
  </si>
  <si>
    <t xml:space="preserve">niektóre świadczenia rodzinne oraz za osoby </t>
  </si>
  <si>
    <t>uczestniczące w zajęciach w centrum integracji społecznej</t>
  </si>
  <si>
    <t xml:space="preserve">Zasiłki i pomoc w naturze oraz składki na </t>
  </si>
  <si>
    <t>ubezpieczenia emerytalne i rentowe</t>
  </si>
  <si>
    <t>Dodatki mieszkaniowe</t>
  </si>
  <si>
    <t>Usługi opiekuńcze i specjalistyczne</t>
  </si>
  <si>
    <t>usługi opiekuńcze</t>
  </si>
  <si>
    <t>Kolonie i obozy oraz inne formy wypoczynku dzieci</t>
  </si>
  <si>
    <t>i młodzieży szkolnej, a także szkolenia młodzieży</t>
  </si>
  <si>
    <t>Ochotnicze Hufce Pracy</t>
  </si>
  <si>
    <t>GOSPODARKA KOMUNALNA I OCHRONA</t>
  </si>
  <si>
    <t>ŚRODOWISKA</t>
  </si>
  <si>
    <t>Oczyszczanie miast i wsi</t>
  </si>
  <si>
    <t>Oświetlenie ulic, placów i dróg</t>
  </si>
  <si>
    <t>Wpływy i wydatki związane z gromadzeniem</t>
  </si>
  <si>
    <t>środków z opłat produktowych</t>
  </si>
  <si>
    <t>Biblioteki</t>
  </si>
  <si>
    <t>Obiekty sportowe</t>
  </si>
  <si>
    <t>Instytucje kultury fizycznej</t>
  </si>
  <si>
    <t>Zadania w zakresie kultury fizycznej i sportu</t>
  </si>
  <si>
    <t>1.2.3.    Zestawienie wydatków związanych z realizacją zadań z zakresu administracji rządowej oraz innych zadań zleconych ustawami</t>
  </si>
  <si>
    <t>według działów i rozdziałów klasyfikacji budżetowej.</t>
  </si>
  <si>
    <t>URZĘDY NACZELNYCH ORGANÓW WŁADZY</t>
  </si>
  <si>
    <t xml:space="preserve">PAŃSTWOWEJ, KONTROLI I OCHRONY </t>
  </si>
  <si>
    <t>Oświata i wychowanie</t>
  </si>
  <si>
    <t>Świadczenia rodzinne, świadczenie z funduszu alimentacyjnego</t>
  </si>
  <si>
    <t xml:space="preserve">oraz składki na ubezpieczenia emerytalne i rentowe </t>
  </si>
  <si>
    <t>z ubezpieczenia społecznego</t>
  </si>
  <si>
    <t>Usługi opiekuńcze i specjalistyczne usługi</t>
  </si>
  <si>
    <t>opiekuńcze</t>
  </si>
  <si>
    <t>1.2.4. Zestawienie wydatków związanych z realizacją zadań wykonywanych na podstawie porozumień (umów) między jednostkami samorządu terytorialnego
          według działów i rozdziałów klasyfikacji budżetowej.</t>
  </si>
  <si>
    <t>POZOSTAŁE ZADANIA W ZAKRESIE                                                         POLITYKI SPOŁECZNEJ</t>
  </si>
  <si>
    <t>1.2.5. Zestawienie wydatków na pomoc finansową innym jednostkom samorządu terytorialnego według działów i rozdziałów klasyfikacji budżetowej.</t>
  </si>
  <si>
    <t>1.2.6. Zestawienie wydatków związanych z realizacją zadań wspólnych wykonywanych w drodze umów lub porozumień między jednostkami samorządu terytorialnego</t>
  </si>
  <si>
    <t xml:space="preserve">         według działów i rozdziałów klasyfikacji budżetowej.</t>
  </si>
  <si>
    <t>1.3. Wydatki jednostek pomocniczych.</t>
  </si>
  <si>
    <t>Dział 921 rozdział 92109</t>
  </si>
  <si>
    <t>Nazwa jednostki pomocniczej</t>
  </si>
  <si>
    <t>Realizacja
 4:3</t>
  </si>
  <si>
    <t>wynagrodzenia 
i pochodne</t>
  </si>
  <si>
    <t>OGÓŁEM, z tego:</t>
  </si>
  <si>
    <t>OSIEDLA RAZEM</t>
  </si>
  <si>
    <t>Mścięcino                         (Nr 1)</t>
  </si>
  <si>
    <t>Stare Miasto                     (Nr 2)</t>
  </si>
  <si>
    <t>Jasienica                          (Nr 3)</t>
  </si>
  <si>
    <t>Dąbrówki                          (Nr 4)</t>
  </si>
  <si>
    <t>Gryfitów                            (Nr 5)</t>
  </si>
  <si>
    <t>Księcia Bogusława X       (Nr 6)</t>
  </si>
  <si>
    <t>Anny Jagiellonki               (Nr 7)</t>
  </si>
  <si>
    <t>SOŁECTWA RAZEM</t>
  </si>
  <si>
    <t>Dębostrów</t>
  </si>
  <si>
    <t>Drogoradz</t>
  </si>
  <si>
    <r>
      <t>Niekłończyca</t>
    </r>
    <r>
      <rPr>
        <vertAlign val="superscript"/>
        <sz val="9"/>
        <rFont val="Arial CE"/>
        <family val="0"/>
      </rPr>
      <t>1)</t>
    </r>
  </si>
  <si>
    <t>Pilchowo</t>
  </si>
  <si>
    <r>
      <t>Przęsocin</t>
    </r>
    <r>
      <rPr>
        <vertAlign val="superscript"/>
        <sz val="9"/>
        <rFont val="Arial CE"/>
        <family val="0"/>
      </rPr>
      <t>1)</t>
    </r>
  </si>
  <si>
    <t>Siedlice</t>
  </si>
  <si>
    <t>Tanowo</t>
  </si>
  <si>
    <t>Tatynia</t>
  </si>
  <si>
    <t>Trzebież</t>
  </si>
  <si>
    <r>
      <t>Trzeszczyn</t>
    </r>
    <r>
      <rPr>
        <vertAlign val="superscript"/>
        <sz val="9"/>
        <rFont val="Arial CE"/>
        <family val="0"/>
      </rPr>
      <t>1)</t>
    </r>
  </si>
  <si>
    <t>Uniemyśl</t>
  </si>
  <si>
    <t>Wieńkowo</t>
  </si>
  <si>
    <t>Budżet osiedli i sołectw za 9 miesięcy 2009 r.  został zwiększony o łączną kwotę 13.728 zł w wyniku zmian dokonanych uchwałami Rady Miejskiej w Policach i zarządzeniami Burmistrza Polic w zakresie posiadanych kompetencji.</t>
  </si>
  <si>
    <r>
      <rPr>
        <vertAlign val="superscript"/>
        <sz val="9"/>
        <rFont val="Arial CE"/>
        <family val="0"/>
      </rPr>
      <t>1)</t>
    </r>
    <r>
      <rPr>
        <sz val="9"/>
        <rFont val="Arial CE"/>
        <family val="2"/>
      </rPr>
      <t xml:space="preserve"> Uchwałą nr XL/303/09 Rady Miejskiej w Policach z dnia 29.05.2009 r. zmniejszono budżet Osiedla Dąbrówki o kwotę 15.982 zł (środki przeniesiono do rozdziału 85412, z przeznaczeniem na organizację kolonii letnich dla dzieci z terenu Rady Osiedla nr 4);</t>
    </r>
  </si>
  <si>
    <r>
      <rPr>
        <vertAlign val="superscript"/>
        <sz val="9"/>
        <rFont val="Arial CE"/>
        <family val="0"/>
      </rPr>
      <t>2)</t>
    </r>
    <r>
      <rPr>
        <sz val="9"/>
        <rFont val="Arial CE"/>
        <family val="2"/>
      </rPr>
      <t xml:space="preserve"> Uchwałą nr XXXIX/293/09 Rady Miejskiej w Policach z dnia 28.04.2009 r. zwiększono budżet Sołectwa Dębostrów o kwotę 1.430 zł (środki przeznaczono na zakup stołu bilardowego do świetlicy sołectwa);</t>
    </r>
  </si>
  <si>
    <t>1.4. Zestawienie udzielonych dotacji.</t>
  </si>
  <si>
    <t>1.4.1. Dotacje dla zakładów budżetowych.</t>
  </si>
  <si>
    <t>Realizacja</t>
  </si>
  <si>
    <t>6:5</t>
  </si>
  <si>
    <t>Zakład Gospodarki Komunalnej</t>
  </si>
  <si>
    <t>i Mieszkaniowej, z tego na:</t>
  </si>
  <si>
    <t>a) eksploatację i remonty budynków</t>
  </si>
  <si>
    <t xml:space="preserve">    komunalnych</t>
  </si>
  <si>
    <t>b) wydatki inwestycyjne</t>
  </si>
  <si>
    <t>c) utrzymanie cmentarzy</t>
  </si>
  <si>
    <t xml:space="preserve">Zakład Odzysku i Składowania Odpadów </t>
  </si>
  <si>
    <t>Komunalnych, z tego na:</t>
  </si>
  <si>
    <t xml:space="preserve">a) wydatki inwestycyjne </t>
  </si>
  <si>
    <t>Szkoła Podstawowa nr 1, z tego na:</t>
  </si>
  <si>
    <t>działalność podstawową</t>
  </si>
  <si>
    <t>klasy "0"</t>
  </si>
  <si>
    <t>dokształcanie i doskonalenie nauczycieli</t>
  </si>
  <si>
    <t>pomoc materialna dla uczniów</t>
  </si>
  <si>
    <t>Szkoła Podstawowa nr 2, z tego na:</t>
  </si>
  <si>
    <t>wydatki inwestycyjne</t>
  </si>
  <si>
    <t>Szkoła Podstawowa nr 3, z tego na:</t>
  </si>
  <si>
    <t>Szkoła Podstawowa nr 6, z tego na:</t>
  </si>
  <si>
    <t>stołówki szkolne</t>
  </si>
  <si>
    <t>Szkoła Podstawowa nr 8, z tego na:</t>
  </si>
  <si>
    <t>Szkoła Podstawowa w Tanowie, z tego na:</t>
  </si>
  <si>
    <t>Szkoła Podstawowa w Trzebieży, z tego na:</t>
  </si>
  <si>
    <t>Przedszkole Publiczne nr 1, z tego na:</t>
  </si>
  <si>
    <t>Przedszkole Publiczne nr 5, z tego na:</t>
  </si>
  <si>
    <t>Przedszkole Publiczne nr 6, z tego na:</t>
  </si>
  <si>
    <t>Przedszkole Publiczne nr 8, z tego na:</t>
  </si>
  <si>
    <t>Przedszkole Publiczne nr 9, z tego na:</t>
  </si>
  <si>
    <t>Przedszkole Publiczne nr 10, z tego na:</t>
  </si>
  <si>
    <t>Przedszkole Publiczne nr 11, z tego na:</t>
  </si>
  <si>
    <t>Przedszkole Publiczne w Tanowie, z tego na:</t>
  </si>
  <si>
    <t>Przedszkole Publiczne w Trzebieży, z tego na:</t>
  </si>
  <si>
    <t>Gimnazjum nr 1, z tego na:</t>
  </si>
  <si>
    <t>Gimnazjum nr 2, z tego na:</t>
  </si>
  <si>
    <t>Gimnazjum nr 3, z tego na:</t>
  </si>
  <si>
    <t>Gimnazjum nr 4, z tego na:</t>
  </si>
  <si>
    <t>Gimnazjum w Trzebieży, z tego na:</t>
  </si>
  <si>
    <t>Żłobek</t>
  </si>
  <si>
    <t>działalność podstawowa</t>
  </si>
  <si>
    <t>1.4.6. Dotacje celowe na zadania wspólne realizowane w drodze umów 
          lub porozumień między jednostkami samorządu terytorialnego.</t>
  </si>
  <si>
    <t xml:space="preserve"> - dotacja celowa dla Gminy Dobra</t>
  </si>
  <si>
    <t xml:space="preserve"> - dotacja celowa dla Gminy Kołbaskowo</t>
  </si>
  <si>
    <t xml:space="preserve"> - dotacja celowa dla Gminy Nowe Warpno</t>
  </si>
  <si>
    <t xml:space="preserve"> - dotacja celowa dla Powiatu Polickiego</t>
  </si>
  <si>
    <t>1.4.5. Dotacje celowe na zadania realizowane na podstawie porozumień 
          (umów) między jednostkami samorządu terytorialnego                                                        
          wykonywane przez podmioty nienależące do sektora finansów publicznych.</t>
  </si>
  <si>
    <t>Dotacje celowe na realizację projektu pn. "Pobudka – obudź swój potencjał".</t>
  </si>
  <si>
    <t>Składki na ubezpieczenia zdrowotne opłacane za osoby pobierające niektóre świadczenia z pomocy społecznej, niektóre świadczenia rodzinne oraz za osoby uczestniczące w zajęciach w centrum integracji społecznej</t>
  </si>
  <si>
    <t>Stopień realizacji
5:4</t>
  </si>
  <si>
    <r>
      <rPr>
        <vertAlign val="superscript"/>
        <sz val="9"/>
        <rFont val="Arial CE"/>
        <family val="0"/>
      </rPr>
      <t>3)</t>
    </r>
    <r>
      <rPr>
        <sz val="9"/>
        <rFont val="Arial CE"/>
        <family val="2"/>
      </rPr>
      <t xml:space="preserve"> Zarządzeniem nr 113/09 z dnia 29.05.2009 r. Burmistrz Polic rozdysponował środki z rezerwy celowej w kwocie 19.130 zł przeznaczonej na nagrody w konkursie "Najestetyczniejsze Sołectwo Gminy Police" (nagrody otrzymały: Sołectwo Przęsocin - 8.093 zł, Sołectwo Pilchowo - 2.207 zł, Sołectwo Niekłończyca - 4.415 zł oraz Sołectwo Dębostrów - 4.415 zł).</t>
    </r>
  </si>
  <si>
    <t>1.1.2. Zestawienie dochodów w układzie rodzajowym.</t>
  </si>
  <si>
    <t>1.4.4. Dotacje celowe na pomoc finansową innym jednostkom samorządu terytorialnego.</t>
  </si>
  <si>
    <r>
      <rPr>
        <vertAlign val="superscript"/>
        <sz val="9"/>
        <rFont val="Arial CE"/>
        <family val="0"/>
      </rPr>
      <t>4)</t>
    </r>
    <r>
      <rPr>
        <sz val="9"/>
        <rFont val="Arial CE"/>
        <family val="2"/>
      </rPr>
      <t xml:space="preserve"> Zarządzeniem nr 205/09 z dnia 29.09.2009 r. Burmistrz Polic rozdysponował środki z rezerwy ogólnej  na łączną kwotę 9.150 zł, z przeznaczeniem na zakup materiałów i usług związanych z organizacją imprez wigilijnych przez Radę Osiedla nr 6 - 1.400 zł (na pokrycie kosztów zatrudnienia osoby zastępującej świetliczankę w miesiącu sierpniu br.) oraz na pokrycie kosztów ogrzewania gazowego i energii elektrycznej - 4.750 zł oraz zakupy - 3.000 zł (głównie paczki z okazji Mikołaja) na potrzeby Sołectwa Tatynia.</t>
    </r>
  </si>
  <si>
    <t>1.1.1.4. Dochody związane z realizacją zadań wykonywanych na podstawie porozumień (umów) między jednostkami samorządu terytorialnego.</t>
  </si>
  <si>
    <t>12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</si>
</sst>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#,##0.00000"/>
    <numFmt numFmtId="194" formatCode="0.000000000"/>
    <numFmt numFmtId="195" formatCode="0.0000000000"/>
  </numFmts>
  <fonts count="9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i/>
      <u val="single"/>
      <sz val="9"/>
      <name val="Arial CE"/>
      <family val="2"/>
    </font>
    <font>
      <sz val="10"/>
      <name val="Arial"/>
      <family val="2"/>
    </font>
    <font>
      <sz val="9"/>
      <color indexed="10"/>
      <name val="Arial CE"/>
      <family val="2"/>
    </font>
    <font>
      <i/>
      <u val="single"/>
      <sz val="9"/>
      <color indexed="10"/>
      <name val="Arial CE"/>
      <family val="2"/>
    </font>
    <font>
      <sz val="10"/>
      <color indexed="10"/>
      <name val="Arial CE"/>
      <family val="2"/>
    </font>
    <font>
      <b/>
      <sz val="9"/>
      <color indexed="10"/>
      <name val="Arial CE"/>
      <family val="0"/>
    </font>
    <font>
      <sz val="11"/>
      <color indexed="10"/>
      <name val="Arial CE"/>
      <family val="2"/>
    </font>
    <font>
      <i/>
      <u val="single"/>
      <sz val="8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0"/>
    </font>
    <font>
      <u val="single"/>
      <sz val="10"/>
      <name val="Arial CE"/>
      <family val="0"/>
    </font>
    <font>
      <b/>
      <sz val="11"/>
      <color indexed="10"/>
      <name val="Arial CE"/>
      <family val="0"/>
    </font>
    <font>
      <b/>
      <sz val="14"/>
      <name val="Arial CE"/>
      <family val="0"/>
    </font>
    <font>
      <b/>
      <sz val="14"/>
      <color indexed="8"/>
      <name val="Arial CE"/>
      <family val="2"/>
    </font>
    <font>
      <sz val="9"/>
      <color indexed="8"/>
      <name val="Arial CE"/>
      <family val="2"/>
    </font>
    <font>
      <i/>
      <u val="single"/>
      <sz val="9"/>
      <color indexed="8"/>
      <name val="Arial CE"/>
      <family val="2"/>
    </font>
    <font>
      <sz val="10"/>
      <color indexed="48"/>
      <name val="Arial CE"/>
      <family val="2"/>
    </font>
    <font>
      <sz val="9"/>
      <color indexed="57"/>
      <name val="Arial CE"/>
      <family val="2"/>
    </font>
    <font>
      <sz val="9"/>
      <color indexed="48"/>
      <name val="Arial CE"/>
      <family val="2"/>
    </font>
    <font>
      <b/>
      <sz val="10"/>
      <color indexed="8"/>
      <name val="Arial CE"/>
      <family val="2"/>
    </font>
    <font>
      <sz val="10"/>
      <color indexed="57"/>
      <name val="Arial CE"/>
      <family val="2"/>
    </font>
    <font>
      <b/>
      <i/>
      <sz val="9"/>
      <name val="Arial CE"/>
      <family val="2"/>
    </font>
    <font>
      <b/>
      <i/>
      <u val="single"/>
      <sz val="9"/>
      <name val="Arial CE"/>
      <family val="2"/>
    </font>
    <font>
      <i/>
      <sz val="9"/>
      <color indexed="8"/>
      <name val="Arial CE"/>
      <family val="2"/>
    </font>
    <font>
      <b/>
      <i/>
      <sz val="9"/>
      <color indexed="10"/>
      <name val="Arial CE"/>
      <family val="2"/>
    </font>
    <font>
      <b/>
      <i/>
      <sz val="9"/>
      <color indexed="8"/>
      <name val="Arial CE"/>
      <family val="2"/>
    </font>
    <font>
      <b/>
      <i/>
      <u val="single"/>
      <sz val="9"/>
      <color indexed="8"/>
      <name val="Arial CE"/>
      <family val="2"/>
    </font>
    <font>
      <u val="single"/>
      <sz val="9"/>
      <name val="Arial CE"/>
      <family val="2"/>
    </font>
    <font>
      <i/>
      <u val="single"/>
      <sz val="9"/>
      <color indexed="48"/>
      <name val="Arial CE"/>
      <family val="2"/>
    </font>
    <font>
      <b/>
      <sz val="9"/>
      <color indexed="8"/>
      <name val="Arial CE"/>
      <family val="2"/>
    </font>
    <font>
      <b/>
      <i/>
      <u val="single"/>
      <sz val="9"/>
      <color indexed="10"/>
      <name val="Arial CE"/>
      <family val="2"/>
    </font>
    <font>
      <i/>
      <sz val="9"/>
      <color indexed="10"/>
      <name val="Arial CE"/>
      <family val="2"/>
    </font>
    <font>
      <u val="single"/>
      <sz val="9"/>
      <color indexed="8"/>
      <name val="Arial CE"/>
      <family val="2"/>
    </font>
    <font>
      <b/>
      <sz val="12"/>
      <color indexed="10"/>
      <name val="Arial"/>
      <family val="2"/>
    </font>
    <font>
      <u val="single"/>
      <sz val="9"/>
      <color indexed="10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 CE"/>
      <family val="2"/>
    </font>
    <font>
      <i/>
      <u val="single"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vertAlign val="superscript"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7" borderId="1" applyNumberFormat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507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0" fontId="11" fillId="0" borderId="14" xfId="58" applyNumberFormat="1" applyFont="1" applyBorder="1" applyAlignment="1">
      <alignment/>
    </xf>
    <xf numFmtId="0" fontId="10" fillId="0" borderId="14" xfId="0" applyFont="1" applyBorder="1" applyAlignment="1">
      <alignment/>
    </xf>
    <xf numFmtId="10" fontId="10" fillId="0" borderId="14" xfId="58" applyNumberFormat="1" applyFont="1" applyBorder="1" applyAlignment="1">
      <alignment/>
    </xf>
    <xf numFmtId="0" fontId="0" fillId="33" borderId="15" xfId="0" applyFont="1" applyFill="1" applyBorder="1" applyAlignment="1">
      <alignment horizontal="center"/>
    </xf>
    <xf numFmtId="10" fontId="10" fillId="0" borderId="16" xfId="58" applyNumberFormat="1" applyFont="1" applyBorder="1" applyAlignment="1">
      <alignment/>
    </xf>
    <xf numFmtId="10" fontId="11" fillId="33" borderId="17" xfId="58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/>
    </xf>
    <xf numFmtId="10" fontId="10" fillId="0" borderId="16" xfId="58" applyNumberFormat="1" applyFont="1" applyBorder="1" applyAlignment="1">
      <alignment/>
    </xf>
    <xf numFmtId="10" fontId="10" fillId="0" borderId="14" xfId="58" applyNumberFormat="1" applyFont="1" applyBorder="1" applyAlignment="1">
      <alignment/>
    </xf>
    <xf numFmtId="10" fontId="11" fillId="33" borderId="17" xfId="58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 horizontal="centerContinuous"/>
    </xf>
    <xf numFmtId="0" fontId="15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10" fontId="10" fillId="0" borderId="14" xfId="58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9" fillId="0" borderId="0" xfId="0" applyFont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4" fontId="16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10" fontId="18" fillId="0" borderId="14" xfId="58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10" fontId="4" fillId="0" borderId="16" xfId="58" applyNumberFormat="1" applyFont="1" applyFill="1" applyBorder="1" applyAlignment="1">
      <alignment horizontal="right" wrapText="1"/>
    </xf>
    <xf numFmtId="3" fontId="4" fillId="0" borderId="2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4" fontId="11" fillId="0" borderId="13" xfId="0" applyNumberFormat="1" applyFont="1" applyBorder="1" applyAlignment="1">
      <alignment/>
    </xf>
    <xf numFmtId="4" fontId="10" fillId="0" borderId="23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11" fillId="33" borderId="25" xfId="0" applyFont="1" applyFill="1" applyBorder="1" applyAlignment="1">
      <alignment horizontal="center"/>
    </xf>
    <xf numFmtId="4" fontId="4" fillId="0" borderId="13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14" fillId="0" borderId="0" xfId="0" applyFont="1" applyAlignment="1">
      <alignment horizontal="centerContinuous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10" fontId="0" fillId="0" borderId="14" xfId="58" applyNumberFormat="1" applyFont="1" applyBorder="1" applyAlignment="1">
      <alignment/>
    </xf>
    <xf numFmtId="10" fontId="0" fillId="0" borderId="27" xfId="58" applyNumberFormat="1" applyFont="1" applyBorder="1" applyAlignment="1">
      <alignment/>
    </xf>
    <xf numFmtId="3" fontId="0" fillId="0" borderId="0" xfId="52" applyNumberFormat="1" applyFont="1">
      <alignment/>
      <protection/>
    </xf>
    <xf numFmtId="0" fontId="0" fillId="0" borderId="0" xfId="52" applyFont="1">
      <alignment/>
      <protection/>
    </xf>
    <xf numFmtId="0" fontId="9" fillId="0" borderId="0" xfId="52" applyFont="1" applyAlignment="1">
      <alignment horizontal="centerContinuous"/>
      <protection/>
    </xf>
    <xf numFmtId="0" fontId="14" fillId="0" borderId="0" xfId="52" applyFont="1" applyAlignment="1">
      <alignment horizontal="centerContinuous"/>
      <protection/>
    </xf>
    <xf numFmtId="0" fontId="26" fillId="0" borderId="0" xfId="52" applyFont="1">
      <alignment/>
      <protection/>
    </xf>
    <xf numFmtId="0" fontId="27" fillId="0" borderId="0" xfId="52" applyFont="1" applyAlignment="1">
      <alignment horizontal="right" vertical="center"/>
      <protection/>
    </xf>
    <xf numFmtId="0" fontId="8" fillId="33" borderId="28" xfId="52" applyFont="1" applyFill="1" applyBorder="1" applyAlignment="1">
      <alignment horizontal="center" vertical="center" wrapText="1"/>
      <protection/>
    </xf>
    <xf numFmtId="0" fontId="8" fillId="33" borderId="29" xfId="52" applyFont="1" applyFill="1" applyBorder="1" applyAlignment="1">
      <alignment horizontal="center" vertical="center" wrapText="1"/>
      <protection/>
    </xf>
    <xf numFmtId="0" fontId="8" fillId="33" borderId="30" xfId="52" applyFont="1" applyFill="1" applyBorder="1" applyAlignment="1">
      <alignment horizontal="center" vertical="center" wrapText="1"/>
      <protection/>
    </xf>
    <xf numFmtId="0" fontId="8" fillId="33" borderId="31" xfId="52" applyFont="1" applyFill="1" applyBorder="1" applyAlignment="1">
      <alignment horizontal="center" vertical="center" wrapText="1"/>
      <protection/>
    </xf>
    <xf numFmtId="0" fontId="7" fillId="33" borderId="19" xfId="52" applyFont="1" applyFill="1" applyBorder="1" applyAlignment="1">
      <alignment horizontal="centerContinuous"/>
      <protection/>
    </xf>
    <xf numFmtId="0" fontId="7" fillId="33" borderId="32" xfId="52" applyFont="1" applyFill="1" applyBorder="1" applyAlignment="1">
      <alignment horizontal="centerContinuous"/>
      <protection/>
    </xf>
    <xf numFmtId="0" fontId="7" fillId="33" borderId="24" xfId="52" applyFont="1" applyFill="1" applyBorder="1" applyAlignment="1">
      <alignment horizontal="centerContinuous"/>
      <protection/>
    </xf>
    <xf numFmtId="0" fontId="7" fillId="33" borderId="32" xfId="52" applyFont="1" applyFill="1" applyBorder="1" applyAlignment="1">
      <alignment horizontal="center"/>
      <protection/>
    </xf>
    <xf numFmtId="0" fontId="7" fillId="33" borderId="33" xfId="52" applyFont="1" applyFill="1" applyBorder="1" applyAlignment="1">
      <alignment horizontal="center"/>
      <protection/>
    </xf>
    <xf numFmtId="0" fontId="4" fillId="0" borderId="34" xfId="52" applyFont="1" applyBorder="1" applyAlignment="1">
      <alignment horizontal="center" vertical="center"/>
      <protection/>
    </xf>
    <xf numFmtId="0" fontId="1" fillId="0" borderId="35" xfId="52" applyFont="1" applyBorder="1" applyAlignment="1">
      <alignment horizontal="center" wrapText="1"/>
      <protection/>
    </xf>
    <xf numFmtId="0" fontId="4" fillId="0" borderId="23" xfId="52" applyFont="1" applyBorder="1" applyAlignment="1">
      <alignment horizontal="center"/>
      <protection/>
    </xf>
    <xf numFmtId="3" fontId="1" fillId="0" borderId="23" xfId="52" applyNumberFormat="1" applyFont="1" applyBorder="1" applyAlignment="1">
      <alignment horizontal="right"/>
      <protection/>
    </xf>
    <xf numFmtId="4" fontId="1" fillId="0" borderId="23" xfId="52" applyNumberFormat="1" applyFont="1" applyBorder="1" applyAlignment="1">
      <alignment horizontal="right"/>
      <protection/>
    </xf>
    <xf numFmtId="10" fontId="1" fillId="0" borderId="16" xfId="58" applyNumberFormat="1" applyFont="1" applyBorder="1" applyAlignment="1">
      <alignment/>
    </xf>
    <xf numFmtId="3" fontId="28" fillId="0" borderId="0" xfId="52" applyNumberFormat="1" applyFont="1">
      <alignment/>
      <protection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1" fillId="0" borderId="13" xfId="52" applyFont="1" applyBorder="1" applyAlignment="1">
      <alignment horizontal="center" wrapText="1"/>
      <protection/>
    </xf>
    <xf numFmtId="10" fontId="1" fillId="0" borderId="27" xfId="58" applyNumberFormat="1" applyFont="1" applyBorder="1" applyAlignment="1">
      <alignment/>
    </xf>
    <xf numFmtId="0" fontId="0" fillId="0" borderId="10" xfId="52" applyFont="1" applyBorder="1" applyAlignment="1">
      <alignment horizontal="center"/>
      <protection/>
    </xf>
    <xf numFmtId="0" fontId="0" fillId="0" borderId="13" xfId="52" applyFont="1" applyBorder="1">
      <alignment/>
      <protection/>
    </xf>
    <xf numFmtId="4" fontId="0" fillId="0" borderId="18" xfId="52" applyNumberFormat="1" applyFont="1" applyBorder="1">
      <alignment/>
      <protection/>
    </xf>
    <xf numFmtId="0" fontId="0" fillId="0" borderId="36" xfId="52" applyFont="1" applyBorder="1">
      <alignment/>
      <protection/>
    </xf>
    <xf numFmtId="0" fontId="0" fillId="0" borderId="10" xfId="52" applyFont="1" applyBorder="1" applyAlignment="1">
      <alignment/>
      <protection/>
    </xf>
    <xf numFmtId="0" fontId="0" fillId="0" borderId="13" xfId="52" applyFont="1" applyBorder="1" applyAlignment="1">
      <alignment horizontal="center"/>
      <protection/>
    </xf>
    <xf numFmtId="3" fontId="0" fillId="0" borderId="13" xfId="52" applyNumberFormat="1" applyFont="1" applyBorder="1" applyAlignment="1">
      <alignment horizontal="right"/>
      <protection/>
    </xf>
    <xf numFmtId="4" fontId="0" fillId="0" borderId="13" xfId="52" applyNumberFormat="1" applyFont="1" applyBorder="1" applyAlignment="1">
      <alignment horizontal="right"/>
      <protection/>
    </xf>
    <xf numFmtId="0" fontId="14" fillId="0" borderId="13" xfId="52" applyFont="1" applyBorder="1">
      <alignment/>
      <protection/>
    </xf>
    <xf numFmtId="10" fontId="26" fillId="0" borderId="14" xfId="58" applyNumberFormat="1" applyFont="1" applyBorder="1" applyAlignment="1">
      <alignment/>
    </xf>
    <xf numFmtId="3" fontId="29" fillId="0" borderId="0" xfId="52" applyNumberFormat="1" applyFont="1">
      <alignment/>
      <protection/>
    </xf>
    <xf numFmtId="3" fontId="30" fillId="0" borderId="0" xfId="52" applyNumberFormat="1" applyFont="1">
      <alignment/>
      <protection/>
    </xf>
    <xf numFmtId="0" fontId="14" fillId="0" borderId="23" xfId="52" applyFont="1" applyBorder="1">
      <alignment/>
      <protection/>
    </xf>
    <xf numFmtId="10" fontId="26" fillId="0" borderId="16" xfId="58" applyNumberFormat="1" applyFont="1" applyBorder="1" applyAlignment="1">
      <alignment/>
    </xf>
    <xf numFmtId="0" fontId="0" fillId="0" borderId="37" xfId="52" applyFont="1" applyBorder="1" applyAlignment="1">
      <alignment horizontal="centerContinuous"/>
      <protection/>
    </xf>
    <xf numFmtId="9" fontId="26" fillId="0" borderId="14" xfId="58" applyFont="1" applyBorder="1" applyAlignment="1">
      <alignment/>
    </xf>
    <xf numFmtId="0" fontId="4" fillId="0" borderId="34" xfId="52" applyFont="1" applyBorder="1" applyAlignment="1">
      <alignment horizontal="centerContinuous"/>
      <protection/>
    </xf>
    <xf numFmtId="10" fontId="31" fillId="0" borderId="16" xfId="58" applyNumberFormat="1" applyFont="1" applyBorder="1" applyAlignment="1">
      <alignment/>
    </xf>
    <xf numFmtId="3" fontId="32" fillId="0" borderId="0" xfId="52" applyNumberFormat="1" applyFont="1">
      <alignment/>
      <protection/>
    </xf>
    <xf numFmtId="0" fontId="33" fillId="0" borderId="10" xfId="52" applyFont="1" applyBorder="1" applyAlignment="1">
      <alignment horizontal="centerContinuous"/>
      <protection/>
    </xf>
    <xf numFmtId="0" fontId="33" fillId="0" borderId="18" xfId="52" applyFont="1" applyBorder="1" applyAlignment="1">
      <alignment wrapText="1"/>
      <protection/>
    </xf>
    <xf numFmtId="10" fontId="33" fillId="0" borderId="14" xfId="58" applyNumberFormat="1" applyFont="1" applyBorder="1" applyAlignment="1">
      <alignment/>
    </xf>
    <xf numFmtId="3" fontId="33" fillId="0" borderId="0" xfId="52" applyNumberFormat="1" applyFont="1">
      <alignment/>
      <protection/>
    </xf>
    <xf numFmtId="0" fontId="33" fillId="0" borderId="0" xfId="52" applyFont="1">
      <alignment/>
      <protection/>
    </xf>
    <xf numFmtId="0" fontId="34" fillId="0" borderId="13" xfId="52" applyFont="1" applyBorder="1" applyAlignment="1">
      <alignment wrapText="1"/>
      <protection/>
    </xf>
    <xf numFmtId="3" fontId="34" fillId="0" borderId="13" xfId="52" applyNumberFormat="1" applyFont="1" applyBorder="1" applyAlignment="1">
      <alignment horizontal="right"/>
      <protection/>
    </xf>
    <xf numFmtId="4" fontId="34" fillId="0" borderId="18" xfId="52" applyNumberFormat="1" applyFont="1" applyBorder="1">
      <alignment/>
      <protection/>
    </xf>
    <xf numFmtId="0" fontId="0" fillId="0" borderId="10" xfId="52" applyFont="1" applyBorder="1" applyAlignment="1">
      <alignment horizontal="centerContinuous"/>
      <protection/>
    </xf>
    <xf numFmtId="0" fontId="14" fillId="0" borderId="13" xfId="52" applyFont="1" applyBorder="1" applyAlignment="1">
      <alignment wrapText="1"/>
      <protection/>
    </xf>
    <xf numFmtId="9" fontId="35" fillId="0" borderId="14" xfId="58" applyFont="1" applyBorder="1" applyAlignment="1">
      <alignment/>
    </xf>
    <xf numFmtId="0" fontId="34" fillId="0" borderId="18" xfId="52" applyFont="1" applyBorder="1" applyAlignment="1">
      <alignment wrapText="1"/>
      <protection/>
    </xf>
    <xf numFmtId="4" fontId="34" fillId="0" borderId="13" xfId="52" applyNumberFormat="1" applyFont="1" applyBorder="1" applyAlignment="1">
      <alignment horizontal="right"/>
      <protection/>
    </xf>
    <xf numFmtId="0" fontId="36" fillId="0" borderId="13" xfId="52" applyFont="1" applyBorder="1" applyAlignment="1">
      <alignment wrapText="1"/>
      <protection/>
    </xf>
    <xf numFmtId="9" fontId="37" fillId="0" borderId="14" xfId="58" applyFont="1" applyBorder="1" applyAlignment="1">
      <alignment/>
    </xf>
    <xf numFmtId="3" fontId="14" fillId="0" borderId="0" xfId="52" applyNumberFormat="1" applyFont="1">
      <alignment/>
      <protection/>
    </xf>
    <xf numFmtId="0" fontId="29" fillId="0" borderId="0" xfId="52" applyFont="1">
      <alignment/>
      <protection/>
    </xf>
    <xf numFmtId="0" fontId="0" fillId="0" borderId="35" xfId="52" applyFont="1" applyBorder="1">
      <alignment/>
      <protection/>
    </xf>
    <xf numFmtId="0" fontId="0" fillId="0" borderId="37" xfId="52" applyFont="1" applyBorder="1" applyAlignment="1">
      <alignment horizontal="center"/>
      <protection/>
    </xf>
    <xf numFmtId="0" fontId="4" fillId="0" borderId="34" xfId="52" applyFont="1" applyBorder="1" applyAlignment="1">
      <alignment horizontal="center"/>
      <protection/>
    </xf>
    <xf numFmtId="3" fontId="4" fillId="0" borderId="0" xfId="52" applyNumberFormat="1" applyFont="1">
      <alignment/>
      <protection/>
    </xf>
    <xf numFmtId="0" fontId="17" fillId="0" borderId="13" xfId="52" applyFont="1" applyBorder="1">
      <alignment/>
      <protection/>
    </xf>
    <xf numFmtId="0" fontId="34" fillId="0" borderId="10" xfId="52" applyFont="1" applyBorder="1" applyAlignment="1">
      <alignment horizontal="center"/>
      <protection/>
    </xf>
    <xf numFmtId="10" fontId="38" fillId="0" borderId="14" xfId="58" applyNumberFormat="1" applyFont="1" applyBorder="1" applyAlignment="1">
      <alignment/>
    </xf>
    <xf numFmtId="3" fontId="34" fillId="0" borderId="0" xfId="52" applyNumberFormat="1" applyFont="1">
      <alignment/>
      <protection/>
    </xf>
    <xf numFmtId="0" fontId="34" fillId="0" borderId="0" xfId="52" applyFont="1">
      <alignment/>
      <protection/>
    </xf>
    <xf numFmtId="0" fontId="4" fillId="0" borderId="38" xfId="52" applyFont="1" applyBorder="1" applyAlignment="1">
      <alignment horizontal="center"/>
      <protection/>
    </xf>
    <xf numFmtId="0" fontId="1" fillId="0" borderId="21" xfId="52" applyFont="1" applyBorder="1" applyAlignment="1">
      <alignment horizontal="center"/>
      <protection/>
    </xf>
    <xf numFmtId="3" fontId="1" fillId="0" borderId="22" xfId="52" applyNumberFormat="1" applyFont="1" applyBorder="1" applyAlignment="1">
      <alignment horizontal="right"/>
      <protection/>
    </xf>
    <xf numFmtId="4" fontId="1" fillId="0" borderId="22" xfId="52" applyNumberFormat="1" applyFont="1" applyBorder="1" applyAlignment="1">
      <alignment horizontal="right"/>
      <protection/>
    </xf>
    <xf numFmtId="10" fontId="1" fillId="0" borderId="17" xfId="58" applyNumberFormat="1" applyFont="1" applyBorder="1" applyAlignment="1">
      <alignment/>
    </xf>
    <xf numFmtId="0" fontId="39" fillId="0" borderId="13" xfId="52" applyFont="1" applyBorder="1">
      <alignment/>
      <protection/>
    </xf>
    <xf numFmtId="0" fontId="0" fillId="0" borderId="19" xfId="52" applyFont="1" applyBorder="1" applyAlignment="1">
      <alignment horizontal="center"/>
      <protection/>
    </xf>
    <xf numFmtId="0" fontId="0" fillId="0" borderId="24" xfId="52" applyFont="1" applyBorder="1">
      <alignment/>
      <protection/>
    </xf>
    <xf numFmtId="0" fontId="4" fillId="0" borderId="10" xfId="52" applyFont="1" applyBorder="1" applyAlignment="1">
      <alignment horizontal="center"/>
      <protection/>
    </xf>
    <xf numFmtId="0" fontId="1" fillId="0" borderId="35" xfId="52" applyFont="1" applyBorder="1" applyAlignment="1">
      <alignment horizontal="center" vertical="center" wrapText="1"/>
      <protection/>
    </xf>
    <xf numFmtId="0" fontId="8" fillId="0" borderId="18" xfId="52" applyFont="1" applyBorder="1" applyAlignment="1">
      <alignment wrapText="1"/>
      <protection/>
    </xf>
    <xf numFmtId="0" fontId="8" fillId="0" borderId="13" xfId="52" applyFont="1" applyBorder="1">
      <alignment/>
      <protection/>
    </xf>
    <xf numFmtId="10" fontId="26" fillId="0" borderId="36" xfId="58" applyNumberFormat="1" applyFont="1" applyBorder="1" applyAlignment="1">
      <alignment/>
    </xf>
    <xf numFmtId="3" fontId="14" fillId="0" borderId="0" xfId="52" applyNumberFormat="1" applyFont="1" applyAlignment="1">
      <alignment horizontal="right"/>
      <protection/>
    </xf>
    <xf numFmtId="0" fontId="0" fillId="0" borderId="13" xfId="52" applyFont="1" applyBorder="1" applyAlignment="1">
      <alignment horizontal="left"/>
      <protection/>
    </xf>
    <xf numFmtId="10" fontId="26" fillId="0" borderId="36" xfId="52" applyNumberFormat="1" applyFont="1" applyBorder="1">
      <alignment/>
      <protection/>
    </xf>
    <xf numFmtId="0" fontId="14" fillId="0" borderId="13" xfId="52" applyFont="1" applyBorder="1" applyAlignment="1">
      <alignment horizontal="center"/>
      <protection/>
    </xf>
    <xf numFmtId="0" fontId="4" fillId="0" borderId="39" xfId="52" applyFont="1" applyBorder="1" applyAlignment="1">
      <alignment horizontal="center"/>
      <protection/>
    </xf>
    <xf numFmtId="0" fontId="1" fillId="0" borderId="21" xfId="52" applyFont="1" applyBorder="1" applyAlignment="1">
      <alignment horizontal="center" vertical="center" wrapText="1"/>
      <protection/>
    </xf>
    <xf numFmtId="4" fontId="1" fillId="0" borderId="21" xfId="52" applyNumberFormat="1" applyFont="1" applyBorder="1">
      <alignment/>
      <protection/>
    </xf>
    <xf numFmtId="10" fontId="1" fillId="0" borderId="40" xfId="58" applyNumberFormat="1" applyFont="1" applyBorder="1" applyAlignment="1">
      <alignment/>
    </xf>
    <xf numFmtId="0" fontId="8" fillId="0" borderId="41" xfId="52" applyFont="1" applyBorder="1" applyAlignment="1">
      <alignment wrapText="1"/>
      <protection/>
    </xf>
    <xf numFmtId="10" fontId="34" fillId="0" borderId="14" xfId="58" applyNumberFormat="1" applyFont="1" applyBorder="1" applyAlignment="1">
      <alignment/>
    </xf>
    <xf numFmtId="0" fontId="17" fillId="0" borderId="18" xfId="52" applyFont="1" applyBorder="1" applyAlignment="1">
      <alignment wrapText="1"/>
      <protection/>
    </xf>
    <xf numFmtId="0" fontId="0" fillId="0" borderId="13" xfId="52" applyFont="1" applyBorder="1" applyAlignment="1">
      <alignment wrapText="1"/>
      <protection/>
    </xf>
    <xf numFmtId="10" fontId="0" fillId="0" borderId="36" xfId="58" applyNumberFormat="1" applyFont="1" applyBorder="1" applyAlignment="1">
      <alignment/>
    </xf>
    <xf numFmtId="0" fontId="12" fillId="0" borderId="10" xfId="52" applyFont="1" applyBorder="1" applyAlignment="1">
      <alignment horizontal="center"/>
      <protection/>
    </xf>
    <xf numFmtId="0" fontId="12" fillId="0" borderId="0" xfId="52" applyFont="1">
      <alignment/>
      <protection/>
    </xf>
    <xf numFmtId="0" fontId="17" fillId="0" borderId="13" xfId="52" applyFont="1" applyBorder="1" applyAlignment="1">
      <alignment wrapText="1"/>
      <protection/>
    </xf>
    <xf numFmtId="3" fontId="1" fillId="0" borderId="21" xfId="52" applyNumberFormat="1" applyFont="1" applyBorder="1" applyAlignment="1">
      <alignment horizontal="right"/>
      <protection/>
    </xf>
    <xf numFmtId="10" fontId="41" fillId="0" borderId="36" xfId="58" applyNumberFormat="1" applyFont="1" applyFill="1" applyBorder="1" applyAlignment="1">
      <alignment/>
    </xf>
    <xf numFmtId="0" fontId="0" fillId="0" borderId="20" xfId="52" applyFont="1" applyBorder="1" applyAlignment="1">
      <alignment horizontal="center"/>
      <protection/>
    </xf>
    <xf numFmtId="0" fontId="14" fillId="0" borderId="25" xfId="52" applyFont="1" applyBorder="1">
      <alignment/>
      <protection/>
    </xf>
    <xf numFmtId="10" fontId="26" fillId="0" borderId="42" xfId="58" applyNumberFormat="1" applyFont="1" applyBorder="1" applyAlignment="1">
      <alignment/>
    </xf>
    <xf numFmtId="0" fontId="4" fillId="0" borderId="19" xfId="52" applyFont="1" applyBorder="1" applyAlignment="1">
      <alignment horizontal="center"/>
      <protection/>
    </xf>
    <xf numFmtId="0" fontId="1" fillId="0" borderId="24" xfId="52" applyFont="1" applyBorder="1">
      <alignment/>
      <protection/>
    </xf>
    <xf numFmtId="0" fontId="1" fillId="0" borderId="24" xfId="52" applyFont="1" applyBorder="1" applyAlignment="1">
      <alignment horizontal="center"/>
      <protection/>
    </xf>
    <xf numFmtId="3" fontId="1" fillId="0" borderId="24" xfId="52" applyNumberFormat="1" applyFont="1" applyBorder="1" applyAlignment="1">
      <alignment horizontal="right"/>
      <protection/>
    </xf>
    <xf numFmtId="4" fontId="1" fillId="0" borderId="24" xfId="52" applyNumberFormat="1" applyFont="1" applyBorder="1" applyAlignment="1">
      <alignment horizontal="right"/>
      <protection/>
    </xf>
    <xf numFmtId="10" fontId="1" fillId="0" borderId="43" xfId="58" applyNumberFormat="1" applyFont="1" applyBorder="1" applyAlignment="1">
      <alignment/>
    </xf>
    <xf numFmtId="0" fontId="14" fillId="0" borderId="0" xfId="52" applyFont="1">
      <alignment/>
      <protection/>
    </xf>
    <xf numFmtId="0" fontId="16" fillId="0" borderId="23" xfId="52" applyFont="1" applyBorder="1" applyAlignment="1">
      <alignment horizontal="center"/>
      <protection/>
    </xf>
    <xf numFmtId="0" fontId="16" fillId="0" borderId="13" xfId="52" applyFont="1" applyBorder="1" applyAlignment="1">
      <alignment horizontal="center"/>
      <protection/>
    </xf>
    <xf numFmtId="3" fontId="20" fillId="0" borderId="13" xfId="52" applyNumberFormat="1" applyFont="1" applyBorder="1" applyAlignment="1">
      <alignment horizontal="right"/>
      <protection/>
    </xf>
    <xf numFmtId="4" fontId="20" fillId="0" borderId="13" xfId="52" applyNumberFormat="1" applyFont="1" applyBorder="1" applyAlignment="1">
      <alignment horizontal="right"/>
      <protection/>
    </xf>
    <xf numFmtId="0" fontId="14" fillId="0" borderId="13" xfId="52" applyFont="1" applyBorder="1" applyAlignment="1">
      <alignment/>
      <protection/>
    </xf>
    <xf numFmtId="0" fontId="14" fillId="0" borderId="13" xfId="52" applyFont="1" applyBorder="1" applyAlignment="1">
      <alignment horizontal="right"/>
      <protection/>
    </xf>
    <xf numFmtId="4" fontId="14" fillId="0" borderId="18" xfId="52" applyNumberFormat="1" applyFont="1" applyBorder="1">
      <alignment/>
      <protection/>
    </xf>
    <xf numFmtId="3" fontId="14" fillId="0" borderId="13" xfId="52" applyNumberFormat="1" applyFont="1" applyBorder="1" applyAlignment="1">
      <alignment horizontal="right"/>
      <protection/>
    </xf>
    <xf numFmtId="0" fontId="14" fillId="0" borderId="23" xfId="52" applyFont="1" applyBorder="1" applyAlignment="1">
      <alignment horizontal="center"/>
      <protection/>
    </xf>
    <xf numFmtId="3" fontId="14" fillId="0" borderId="23" xfId="52" applyNumberFormat="1" applyFont="1" applyBorder="1" applyAlignment="1">
      <alignment horizontal="right"/>
      <protection/>
    </xf>
    <xf numFmtId="4" fontId="14" fillId="0" borderId="35" xfId="52" applyNumberFormat="1" applyFont="1" applyBorder="1">
      <alignment/>
      <protection/>
    </xf>
    <xf numFmtId="0" fontId="36" fillId="0" borderId="0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3" fontId="36" fillId="0" borderId="13" xfId="52" applyNumberFormat="1" applyFont="1" applyBorder="1" applyAlignment="1">
      <alignment horizontal="right"/>
      <protection/>
    </xf>
    <xf numFmtId="4" fontId="36" fillId="0" borderId="13" xfId="52" applyNumberFormat="1" applyFont="1" applyBorder="1" applyAlignment="1">
      <alignment horizontal="right"/>
      <protection/>
    </xf>
    <xf numFmtId="3" fontId="43" fillId="0" borderId="13" xfId="52" applyNumberFormat="1" applyFont="1" applyBorder="1" applyAlignment="1">
      <alignment horizontal="right"/>
      <protection/>
    </xf>
    <xf numFmtId="4" fontId="43" fillId="0" borderId="18" xfId="52" applyNumberFormat="1" applyFont="1" applyBorder="1">
      <alignment/>
      <protection/>
    </xf>
    <xf numFmtId="0" fontId="36" fillId="0" borderId="18" xfId="52" applyFont="1" applyBorder="1" applyAlignment="1">
      <alignment horizontal="center"/>
      <protection/>
    </xf>
    <xf numFmtId="4" fontId="36" fillId="0" borderId="18" xfId="52" applyNumberFormat="1" applyFont="1" applyBorder="1">
      <alignment/>
      <protection/>
    </xf>
    <xf numFmtId="4" fontId="14" fillId="0" borderId="13" xfId="52" applyNumberFormat="1" applyFont="1" applyBorder="1">
      <alignment/>
      <protection/>
    </xf>
    <xf numFmtId="0" fontId="42" fillId="0" borderId="13" xfId="52" applyFont="1" applyBorder="1" applyAlignment="1">
      <alignment horizontal="center"/>
      <protection/>
    </xf>
    <xf numFmtId="0" fontId="16" fillId="0" borderId="22" xfId="52" applyFont="1" applyBorder="1" applyAlignment="1">
      <alignment horizontal="center"/>
      <protection/>
    </xf>
    <xf numFmtId="0" fontId="14" fillId="0" borderId="0" xfId="52" applyFont="1" applyBorder="1" applyAlignment="1">
      <alignment horizontal="center"/>
      <protection/>
    </xf>
    <xf numFmtId="0" fontId="42" fillId="0" borderId="0" xfId="52" applyFont="1" applyBorder="1" applyAlignment="1">
      <alignment horizontal="center"/>
      <protection/>
    </xf>
    <xf numFmtId="0" fontId="14" fillId="0" borderId="18" xfId="52" applyFont="1" applyBorder="1" applyAlignment="1">
      <alignment horizontal="center"/>
      <protection/>
    </xf>
    <xf numFmtId="0" fontId="42" fillId="0" borderId="18" xfId="52" applyFont="1" applyBorder="1" applyAlignment="1">
      <alignment horizontal="center"/>
      <protection/>
    </xf>
    <xf numFmtId="0" fontId="16" fillId="0" borderId="44" xfId="52" applyFont="1" applyBorder="1" applyAlignment="1">
      <alignment horizontal="center"/>
      <protection/>
    </xf>
    <xf numFmtId="0" fontId="14" fillId="0" borderId="45" xfId="52" applyFont="1" applyBorder="1" applyAlignment="1">
      <alignment horizontal="center"/>
      <protection/>
    </xf>
    <xf numFmtId="0" fontId="14" fillId="0" borderId="26" xfId="52" applyFont="1" applyBorder="1" applyAlignment="1">
      <alignment horizontal="center"/>
      <protection/>
    </xf>
    <xf numFmtId="3" fontId="14" fillId="0" borderId="26" xfId="52" applyNumberFormat="1" applyFont="1" applyBorder="1" applyAlignment="1">
      <alignment horizontal="right"/>
      <protection/>
    </xf>
    <xf numFmtId="4" fontId="14" fillId="0" borderId="26" xfId="52" applyNumberFormat="1" applyFont="1" applyBorder="1">
      <alignment/>
      <protection/>
    </xf>
    <xf numFmtId="0" fontId="15" fillId="0" borderId="13" xfId="52" applyFont="1" applyBorder="1" applyAlignment="1">
      <alignment horizontal="center"/>
      <protection/>
    </xf>
    <xf numFmtId="0" fontId="20" fillId="0" borderId="22" xfId="52" applyFont="1" applyBorder="1" applyAlignment="1">
      <alignment horizontal="center"/>
      <protection/>
    </xf>
    <xf numFmtId="0" fontId="17" fillId="0" borderId="13" xfId="52" applyFont="1" applyBorder="1" applyAlignment="1">
      <alignment horizontal="center"/>
      <protection/>
    </xf>
    <xf numFmtId="3" fontId="17" fillId="0" borderId="13" xfId="52" applyNumberFormat="1" applyFont="1" applyBorder="1" applyAlignment="1">
      <alignment horizontal="right"/>
      <protection/>
    </xf>
    <xf numFmtId="4" fontId="17" fillId="0" borderId="18" xfId="52" applyNumberFormat="1" applyFont="1" applyBorder="1" applyAlignment="1">
      <alignment horizontal="right"/>
      <protection/>
    </xf>
    <xf numFmtId="0" fontId="0" fillId="0" borderId="25" xfId="52" applyFont="1" applyBorder="1" applyAlignment="1">
      <alignment horizontal="center"/>
      <protection/>
    </xf>
    <xf numFmtId="3" fontId="0" fillId="0" borderId="25" xfId="52" applyNumberFormat="1" applyFont="1" applyBorder="1" applyAlignment="1">
      <alignment horizontal="right"/>
      <protection/>
    </xf>
    <xf numFmtId="4" fontId="0" fillId="0" borderId="25" xfId="52" applyNumberFormat="1" applyFont="1" applyBorder="1">
      <alignment/>
      <protection/>
    </xf>
    <xf numFmtId="4" fontId="0" fillId="0" borderId="13" xfId="52" applyNumberFormat="1" applyFont="1" applyBorder="1">
      <alignment/>
      <protection/>
    </xf>
    <xf numFmtId="0" fontId="0" fillId="0" borderId="18" xfId="52" applyFont="1" applyBorder="1" applyAlignment="1">
      <alignment horizontal="center"/>
      <protection/>
    </xf>
    <xf numFmtId="0" fontId="0" fillId="0" borderId="23" xfId="52" applyFont="1" applyBorder="1" applyAlignment="1">
      <alignment horizontal="center"/>
      <protection/>
    </xf>
    <xf numFmtId="3" fontId="0" fillId="0" borderId="23" xfId="52" applyNumberFormat="1" applyFont="1" applyBorder="1" applyAlignment="1">
      <alignment horizontal="right"/>
      <protection/>
    </xf>
    <xf numFmtId="4" fontId="0" fillId="0" borderId="35" xfId="52" applyNumberFormat="1" applyFont="1" applyBorder="1">
      <alignment/>
      <protection/>
    </xf>
    <xf numFmtId="0" fontId="24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10" fillId="0" borderId="0" xfId="52" applyFont="1">
      <alignment/>
      <protection/>
    </xf>
    <xf numFmtId="0" fontId="12" fillId="0" borderId="0" xfId="52" applyFont="1" applyAlignment="1">
      <alignment horizontal="right" vertical="center"/>
      <protection/>
    </xf>
    <xf numFmtId="0" fontId="0" fillId="0" borderId="10" xfId="52" applyFont="1" applyBorder="1">
      <alignment/>
      <protection/>
    </xf>
    <xf numFmtId="0" fontId="0" fillId="0" borderId="18" xfId="52" applyBorder="1">
      <alignment/>
      <protection/>
    </xf>
    <xf numFmtId="0" fontId="0" fillId="0" borderId="11" xfId="52" applyFont="1" applyBorder="1" applyAlignment="1">
      <alignment horizontal="center"/>
      <protection/>
    </xf>
    <xf numFmtId="0" fontId="8" fillId="0" borderId="23" xfId="52" applyFont="1" applyBorder="1">
      <alignment/>
      <protection/>
    </xf>
    <xf numFmtId="3" fontId="8" fillId="0" borderId="23" xfId="52" applyNumberFormat="1" applyFont="1" applyBorder="1" applyAlignment="1">
      <alignment horizontal="right" vertical="center"/>
      <protection/>
    </xf>
    <xf numFmtId="4" fontId="8" fillId="0" borderId="23" xfId="52" applyNumberFormat="1" applyFont="1" applyBorder="1" applyAlignment="1">
      <alignment horizontal="right" vertical="center"/>
      <protection/>
    </xf>
    <xf numFmtId="0" fontId="8" fillId="0" borderId="13" xfId="52" applyFont="1" applyBorder="1">
      <alignment/>
      <protection/>
    </xf>
    <xf numFmtId="3" fontId="0" fillId="0" borderId="13" xfId="52" applyNumberFormat="1" applyFont="1" applyBorder="1" applyAlignment="1">
      <alignment horizontal="right" vertic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3" xfId="52" applyFont="1" applyBorder="1">
      <alignment/>
      <protection/>
    </xf>
    <xf numFmtId="0" fontId="0" fillId="0" borderId="13" xfId="52" applyFont="1" applyBorder="1" applyAlignment="1">
      <alignment horizontal="center"/>
      <protection/>
    </xf>
    <xf numFmtId="0" fontId="34" fillId="0" borderId="0" xfId="52" applyFont="1">
      <alignment/>
      <protection/>
    </xf>
    <xf numFmtId="0" fontId="0" fillId="0" borderId="13" xfId="52" applyFont="1" applyFill="1" applyBorder="1">
      <alignment/>
      <protection/>
    </xf>
    <xf numFmtId="3" fontId="0" fillId="0" borderId="13" xfId="52" applyNumberFormat="1" applyFont="1" applyBorder="1" applyAlignment="1">
      <alignment horizontal="right" vertical="center"/>
      <protection/>
    </xf>
    <xf numFmtId="4" fontId="0" fillId="0" borderId="18" xfId="52" applyNumberFormat="1" applyFont="1" applyBorder="1">
      <alignment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3" xfId="52" applyFont="1" applyFill="1" applyBorder="1" applyAlignment="1">
      <alignment horizontal="center"/>
      <protection/>
    </xf>
    <xf numFmtId="0" fontId="0" fillId="0" borderId="0" xfId="52" applyFont="1" applyFill="1">
      <alignment/>
      <protection/>
    </xf>
    <xf numFmtId="3" fontId="0" fillId="0" borderId="13" xfId="52" applyNumberFormat="1" applyFont="1" applyFill="1" applyBorder="1" applyAlignment="1">
      <alignment horizontal="right" vertical="center"/>
      <protection/>
    </xf>
    <xf numFmtId="4" fontId="0" fillId="0" borderId="18" xfId="52" applyNumberFormat="1" applyFont="1" applyFill="1" applyBorder="1" applyAlignment="1">
      <alignment horizontal="right" vertical="center"/>
      <protection/>
    </xf>
    <xf numFmtId="0" fontId="0" fillId="0" borderId="13" xfId="52" applyFont="1" applyFill="1" applyBorder="1" applyAlignment="1">
      <alignment horizontal="center"/>
      <protection/>
    </xf>
    <xf numFmtId="3" fontId="0" fillId="0" borderId="13" xfId="52" applyNumberFormat="1" applyFont="1" applyFill="1" applyBorder="1" applyAlignment="1">
      <alignment horizontal="right" vertical="center"/>
      <protection/>
    </xf>
    <xf numFmtId="4" fontId="0" fillId="0" borderId="18" xfId="52" applyNumberFormat="1" applyFont="1" applyFill="1" applyBorder="1">
      <alignment/>
      <protection/>
    </xf>
    <xf numFmtId="0" fontId="0" fillId="0" borderId="13" xfId="52" applyFont="1" applyFill="1" applyBorder="1">
      <alignment/>
      <protection/>
    </xf>
    <xf numFmtId="0" fontId="0" fillId="0" borderId="13" xfId="52" applyFont="1" applyBorder="1" applyAlignment="1">
      <alignment horizontal="left" wrapText="1"/>
      <protection/>
    </xf>
    <xf numFmtId="0" fontId="0" fillId="0" borderId="18" xfId="52" applyFont="1" applyBorder="1" applyAlignment="1">
      <alignment wrapText="1"/>
      <protection/>
    </xf>
    <xf numFmtId="0" fontId="0" fillId="0" borderId="18" xfId="52" applyFont="1" applyBorder="1">
      <alignment/>
      <protection/>
    </xf>
    <xf numFmtId="0" fontId="0" fillId="0" borderId="24" xfId="52" applyFont="1" applyBorder="1" applyAlignment="1">
      <alignment horizontal="center"/>
      <protection/>
    </xf>
    <xf numFmtId="3" fontId="0" fillId="0" borderId="24" xfId="52" applyNumberFormat="1" applyFont="1" applyBorder="1" applyAlignment="1">
      <alignment horizontal="right" vertical="center"/>
      <protection/>
    </xf>
    <xf numFmtId="4" fontId="0" fillId="0" borderId="32" xfId="52" applyNumberFormat="1" applyFont="1" applyBorder="1">
      <alignment/>
      <protection/>
    </xf>
    <xf numFmtId="0" fontId="14" fillId="0" borderId="10" xfId="52" applyFont="1" applyBorder="1" applyAlignment="1">
      <alignment horizontal="center"/>
      <protection/>
    </xf>
    <xf numFmtId="3" fontId="14" fillId="0" borderId="13" xfId="52" applyNumberFormat="1" applyFont="1" applyBorder="1" applyAlignment="1">
      <alignment horizontal="right" vertical="center"/>
      <protection/>
    </xf>
    <xf numFmtId="3" fontId="14" fillId="0" borderId="18" xfId="52" applyNumberFormat="1" applyFont="1" applyBorder="1">
      <alignment/>
      <protection/>
    </xf>
    <xf numFmtId="0" fontId="11" fillId="0" borderId="19" xfId="52" applyFont="1" applyBorder="1">
      <alignment/>
      <protection/>
    </xf>
    <xf numFmtId="0" fontId="11" fillId="0" borderId="24" xfId="52" applyFont="1" applyBorder="1">
      <alignment/>
      <protection/>
    </xf>
    <xf numFmtId="0" fontId="11" fillId="0" borderId="24" xfId="52" applyFont="1" applyBorder="1" applyAlignment="1">
      <alignment horizontal="center"/>
      <protection/>
    </xf>
    <xf numFmtId="4" fontId="11" fillId="0" borderId="24" xfId="52" applyNumberFormat="1" applyFont="1" applyBorder="1" applyAlignment="1">
      <alignment horizontal="right" vertical="center"/>
      <protection/>
    </xf>
    <xf numFmtId="3" fontId="0" fillId="0" borderId="36" xfId="0" applyNumberFormat="1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3" xfId="0" applyFont="1" applyBorder="1" applyAlignment="1">
      <alignment wrapText="1"/>
    </xf>
    <xf numFmtId="10" fontId="0" fillId="0" borderId="14" xfId="58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/>
    </xf>
    <xf numFmtId="3" fontId="0" fillId="0" borderId="36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32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/>
    </xf>
    <xf numFmtId="4" fontId="4" fillId="0" borderId="25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right" vertical="center"/>
    </xf>
    <xf numFmtId="10" fontId="1" fillId="0" borderId="43" xfId="58" applyNumberFormat="1" applyFont="1" applyBorder="1" applyAlignment="1">
      <alignment horizontal="right" vertical="center"/>
    </xf>
    <xf numFmtId="0" fontId="24" fillId="0" borderId="0" xfId="52" applyFont="1" applyAlignment="1">
      <alignment/>
      <protection/>
    </xf>
    <xf numFmtId="0" fontId="24" fillId="0" borderId="0" xfId="52" applyFont="1" applyAlignment="1">
      <alignment/>
      <protection/>
    </xf>
    <xf numFmtId="0" fontId="24" fillId="0" borderId="0" xfId="0" applyFont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3" fontId="0" fillId="0" borderId="36" xfId="0" applyNumberFormat="1" applyFont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3" xfId="52" applyNumberFormat="1" applyFont="1" applyBorder="1" applyAlignment="1">
      <alignment horizontal="right" vertical="center"/>
      <protection/>
    </xf>
    <xf numFmtId="0" fontId="8" fillId="0" borderId="18" xfId="52" applyFont="1" applyBorder="1">
      <alignment/>
      <protection/>
    </xf>
    <xf numFmtId="0" fontId="0" fillId="0" borderId="20" xfId="52" applyFont="1" applyFill="1" applyBorder="1" applyAlignment="1">
      <alignment horizontal="center"/>
      <protection/>
    </xf>
    <xf numFmtId="0" fontId="0" fillId="0" borderId="25" xfId="52" applyFont="1" applyFill="1" applyBorder="1">
      <alignment/>
      <protection/>
    </xf>
    <xf numFmtId="0" fontId="0" fillId="0" borderId="25" xfId="52" applyFont="1" applyFill="1" applyBorder="1" applyAlignment="1">
      <alignment horizontal="center"/>
      <protection/>
    </xf>
    <xf numFmtId="3" fontId="0" fillId="0" borderId="25" xfId="52" applyNumberFormat="1" applyFont="1" applyFill="1" applyBorder="1" applyAlignment="1">
      <alignment horizontal="right" vertical="center"/>
      <protection/>
    </xf>
    <xf numFmtId="4" fontId="0" fillId="0" borderId="46" xfId="52" applyNumberFormat="1" applyFont="1" applyFill="1" applyBorder="1">
      <alignment/>
      <protection/>
    </xf>
    <xf numFmtId="0" fontId="0" fillId="0" borderId="19" xfId="52" applyFont="1" applyFill="1" applyBorder="1" applyAlignment="1">
      <alignment horizontal="center"/>
      <protection/>
    </xf>
    <xf numFmtId="0" fontId="8" fillId="0" borderId="24" xfId="52" applyFont="1" applyFill="1" applyBorder="1">
      <alignment/>
      <protection/>
    </xf>
    <xf numFmtId="0" fontId="0" fillId="0" borderId="24" xfId="52" applyFont="1" applyFill="1" applyBorder="1" applyAlignment="1">
      <alignment horizontal="center"/>
      <protection/>
    </xf>
    <xf numFmtId="3" fontId="8" fillId="0" borderId="24" xfId="52" applyNumberFormat="1" applyFont="1" applyFill="1" applyBorder="1" applyAlignment="1">
      <alignment horizontal="right" vertical="center"/>
      <protection/>
    </xf>
    <xf numFmtId="4" fontId="8" fillId="0" borderId="24" xfId="52" applyNumberFormat="1" applyFont="1" applyFill="1" applyBorder="1" applyAlignment="1">
      <alignment horizontal="right" vertical="center"/>
      <protection/>
    </xf>
    <xf numFmtId="0" fontId="25" fillId="0" borderId="0" xfId="52" applyFont="1" applyAlignment="1">
      <alignment vertical="center" wrapText="1"/>
      <protection/>
    </xf>
    <xf numFmtId="0" fontId="26" fillId="0" borderId="0" xfId="52" applyFont="1" applyAlignment="1">
      <alignment horizontal="centerContinuous"/>
      <protection/>
    </xf>
    <xf numFmtId="0" fontId="10" fillId="0" borderId="11" xfId="52" applyFont="1" applyBorder="1" applyAlignment="1">
      <alignment horizontal="center"/>
      <protection/>
    </xf>
    <xf numFmtId="0" fontId="10" fillId="0" borderId="23" xfId="52" applyFont="1" applyBorder="1" applyAlignment="1">
      <alignment horizontal="center"/>
      <protection/>
    </xf>
    <xf numFmtId="3" fontId="11" fillId="0" borderId="23" xfId="52" applyNumberFormat="1" applyFont="1" applyBorder="1" applyAlignment="1">
      <alignment horizontal="right"/>
      <protection/>
    </xf>
    <xf numFmtId="4" fontId="11" fillId="0" borderId="23" xfId="52" applyNumberFormat="1" applyFont="1" applyBorder="1" applyAlignment="1">
      <alignment horizontal="right"/>
      <protection/>
    </xf>
    <xf numFmtId="10" fontId="11" fillId="0" borderId="16" xfId="58" applyNumberFormat="1" applyFont="1" applyBorder="1" applyAlignment="1">
      <alignment/>
    </xf>
    <xf numFmtId="3" fontId="10" fillId="0" borderId="0" xfId="52" applyNumberFormat="1" applyFont="1">
      <alignment/>
      <protection/>
    </xf>
    <xf numFmtId="0" fontId="26" fillId="0" borderId="13" xfId="52" applyFont="1" applyBorder="1" applyAlignment="1">
      <alignment horizontal="center"/>
      <protection/>
    </xf>
    <xf numFmtId="3" fontId="26" fillId="0" borderId="13" xfId="52" applyNumberFormat="1" applyFont="1" applyBorder="1" applyAlignment="1">
      <alignment horizontal="right"/>
      <protection/>
    </xf>
    <xf numFmtId="4" fontId="26" fillId="0" borderId="18" xfId="52" applyNumberFormat="1" applyFont="1" applyBorder="1">
      <alignment/>
      <protection/>
    </xf>
    <xf numFmtId="3" fontId="44" fillId="0" borderId="13" xfId="52" applyNumberFormat="1" applyFont="1" applyBorder="1" applyAlignment="1">
      <alignment horizontal="right"/>
      <protection/>
    </xf>
    <xf numFmtId="4" fontId="44" fillId="0" borderId="13" xfId="52" applyNumberFormat="1" applyFont="1" applyBorder="1" applyAlignment="1">
      <alignment horizontal="right"/>
      <protection/>
    </xf>
    <xf numFmtId="4" fontId="26" fillId="0" borderId="13" xfId="52" applyNumberFormat="1" applyFont="1" applyBorder="1">
      <alignment/>
      <protection/>
    </xf>
    <xf numFmtId="0" fontId="26" fillId="0" borderId="25" xfId="52" applyFont="1" applyBorder="1" applyAlignment="1">
      <alignment horizontal="center"/>
      <protection/>
    </xf>
    <xf numFmtId="3" fontId="26" fillId="0" borderId="25" xfId="52" applyNumberFormat="1" applyFont="1" applyBorder="1" applyAlignment="1">
      <alignment horizontal="right"/>
      <protection/>
    </xf>
    <xf numFmtId="4" fontId="26" fillId="0" borderId="25" xfId="52" applyNumberFormat="1" applyFont="1" applyBorder="1">
      <alignment/>
      <protection/>
    </xf>
    <xf numFmtId="3" fontId="11" fillId="0" borderId="24" xfId="52" applyNumberFormat="1" applyFont="1" applyBorder="1" applyAlignment="1">
      <alignment horizontal="right"/>
      <protection/>
    </xf>
    <xf numFmtId="10" fontId="11" fillId="0" borderId="43" xfId="58" applyNumberFormat="1" applyFont="1" applyBorder="1" applyAlignment="1">
      <alignment/>
    </xf>
    <xf numFmtId="3" fontId="26" fillId="0" borderId="0" xfId="52" applyNumberFormat="1" applyFont="1">
      <alignment/>
      <protection/>
    </xf>
    <xf numFmtId="4" fontId="26" fillId="0" borderId="0" xfId="52" applyNumberFormat="1" applyFont="1">
      <alignment/>
      <protection/>
    </xf>
    <xf numFmtId="10" fontId="14" fillId="0" borderId="0" xfId="58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4" fontId="1" fillId="33" borderId="21" xfId="0" applyNumberFormat="1" applyFont="1" applyFill="1" applyBorder="1" applyAlignment="1">
      <alignment horizontal="center" wrapText="1"/>
    </xf>
    <xf numFmtId="4" fontId="1" fillId="33" borderId="22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21" fillId="33" borderId="19" xfId="0" applyFont="1" applyFill="1" applyBorder="1" applyAlignment="1">
      <alignment horizontal="center"/>
    </xf>
    <xf numFmtId="1" fontId="21" fillId="33" borderId="47" xfId="0" applyNumberFormat="1" applyFont="1" applyFill="1" applyBorder="1" applyAlignment="1">
      <alignment horizontal="center"/>
    </xf>
    <xf numFmtId="1" fontId="21" fillId="33" borderId="32" xfId="0" applyNumberFormat="1" applyFont="1" applyFill="1" applyBorder="1" applyAlignment="1">
      <alignment horizontal="center"/>
    </xf>
    <xf numFmtId="1" fontId="21" fillId="33" borderId="48" xfId="0" applyNumberFormat="1" applyFont="1" applyFill="1" applyBorder="1" applyAlignment="1">
      <alignment horizontal="center"/>
    </xf>
    <xf numFmtId="1" fontId="21" fillId="33" borderId="49" xfId="0" applyNumberFormat="1" applyFont="1" applyFill="1" applyBorder="1" applyAlignment="1">
      <alignment horizontal="center"/>
    </xf>
    <xf numFmtId="1" fontId="21" fillId="33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10" fontId="4" fillId="0" borderId="50" xfId="58" applyNumberFormat="1" applyFont="1" applyFill="1" applyBorder="1" applyAlignment="1">
      <alignment horizontal="right" wrapText="1"/>
    </xf>
    <xf numFmtId="4" fontId="0" fillId="0" borderId="0" xfId="0" applyNumberFormat="1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4" fontId="4" fillId="0" borderId="13" xfId="0" applyNumberFormat="1" applyFont="1" applyBorder="1" applyAlignment="1">
      <alignment horizontal="centerContinuous"/>
    </xf>
    <xf numFmtId="4" fontId="4" fillId="0" borderId="18" xfId="0" applyNumberFormat="1" applyFont="1" applyBorder="1" applyAlignment="1">
      <alignment horizontal="centerContinuous"/>
    </xf>
    <xf numFmtId="10" fontId="4" fillId="0" borderId="27" xfId="58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52" xfId="0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10" fontId="4" fillId="0" borderId="14" xfId="58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26" xfId="0" applyFont="1" applyBorder="1" applyAlignment="1">
      <alignment horizontal="centerContinuous"/>
    </xf>
    <xf numFmtId="4" fontId="4" fillId="0" borderId="26" xfId="0" applyNumberFormat="1" applyFont="1" applyBorder="1" applyAlignment="1">
      <alignment horizontal="centerContinuous"/>
    </xf>
    <xf numFmtId="4" fontId="4" fillId="0" borderId="41" xfId="0" applyNumberFormat="1" applyFont="1" applyBorder="1" applyAlignment="1">
      <alignment horizontal="centerContinuous"/>
    </xf>
    <xf numFmtId="3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3" fontId="4" fillId="0" borderId="26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4" fontId="4" fillId="0" borderId="13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55" xfId="0" applyFont="1" applyBorder="1" applyAlignment="1">
      <alignment/>
    </xf>
    <xf numFmtId="3" fontId="1" fillId="0" borderId="56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10" fontId="4" fillId="0" borderId="42" xfId="58" applyNumberFormat="1" applyFont="1" applyFill="1" applyBorder="1" applyAlignment="1">
      <alignment horizontal="right" wrapText="1"/>
    </xf>
    <xf numFmtId="0" fontId="4" fillId="0" borderId="19" xfId="0" applyFont="1" applyBorder="1" applyAlignment="1">
      <alignment/>
    </xf>
    <xf numFmtId="4" fontId="11" fillId="0" borderId="32" xfId="0" applyNumberFormat="1" applyFont="1" applyBorder="1" applyAlignment="1">
      <alignment/>
    </xf>
    <xf numFmtId="10" fontId="11" fillId="0" borderId="43" xfId="58" applyNumberFormat="1" applyFont="1" applyFill="1" applyBorder="1" applyAlignment="1">
      <alignment horizontal="right" wrapText="1"/>
    </xf>
    <xf numFmtId="4" fontId="11" fillId="0" borderId="1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1" fillId="33" borderId="47" xfId="0" applyFont="1" applyFill="1" applyBorder="1" applyAlignment="1">
      <alignment horizontal="center"/>
    </xf>
    <xf numFmtId="3" fontId="21" fillId="33" borderId="32" xfId="0" applyNumberFormat="1" applyFont="1" applyFill="1" applyBorder="1" applyAlignment="1">
      <alignment horizontal="center"/>
    </xf>
    <xf numFmtId="3" fontId="21" fillId="33" borderId="48" xfId="0" applyNumberFormat="1" applyFont="1" applyFill="1" applyBorder="1" applyAlignment="1">
      <alignment horizontal="center"/>
    </xf>
    <xf numFmtId="3" fontId="21" fillId="33" borderId="24" xfId="0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0" borderId="2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4" fontId="16" fillId="0" borderId="18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49" fontId="4" fillId="0" borderId="35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0" fontId="4" fillId="0" borderId="58" xfId="0" applyFont="1" applyBorder="1" applyAlignment="1">
      <alignment wrapText="1"/>
    </xf>
    <xf numFmtId="3" fontId="4" fillId="0" borderId="59" xfId="0" applyNumberFormat="1" applyFont="1" applyFill="1" applyBorder="1" applyAlignment="1">
      <alignment horizontal="right"/>
    </xf>
    <xf numFmtId="4" fontId="4" fillId="0" borderId="60" xfId="0" applyNumberFormat="1" applyFont="1" applyFill="1" applyBorder="1" applyAlignment="1">
      <alignment horizontal="right"/>
    </xf>
    <xf numFmtId="4" fontId="4" fillId="0" borderId="58" xfId="0" applyNumberFormat="1" applyFont="1" applyBorder="1" applyAlignment="1">
      <alignment/>
    </xf>
    <xf numFmtId="10" fontId="4" fillId="0" borderId="61" xfId="58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Continuous"/>
    </xf>
    <xf numFmtId="4" fontId="16" fillId="0" borderId="18" xfId="0" applyNumberFormat="1" applyFont="1" applyBorder="1" applyAlignment="1">
      <alignment horizontal="right"/>
    </xf>
    <xf numFmtId="0" fontId="4" fillId="0" borderId="35" xfId="0" applyFont="1" applyFill="1" applyBorder="1" applyAlignment="1">
      <alignment/>
    </xf>
    <xf numFmtId="4" fontId="4" fillId="0" borderId="21" xfId="0" applyNumberFormat="1" applyFont="1" applyFill="1" applyBorder="1" applyAlignment="1">
      <alignment horizontal="right"/>
    </xf>
    <xf numFmtId="10" fontId="4" fillId="0" borderId="16" xfId="58" applyNumberFormat="1" applyFont="1" applyBorder="1" applyAlignment="1">
      <alignment horizontal="right"/>
    </xf>
    <xf numFmtId="49" fontId="4" fillId="0" borderId="52" xfId="0" applyNumberFormat="1" applyFont="1" applyBorder="1" applyAlignment="1">
      <alignment horizontal="center" wrapText="1"/>
    </xf>
    <xf numFmtId="0" fontId="4" fillId="0" borderId="35" xfId="0" applyFont="1" applyBorder="1" applyAlignment="1">
      <alignment wrapText="1"/>
    </xf>
    <xf numFmtId="3" fontId="4" fillId="0" borderId="22" xfId="0" applyNumberFormat="1" applyFont="1" applyFill="1" applyBorder="1" applyAlignment="1">
      <alignment horizontal="right"/>
    </xf>
    <xf numFmtId="10" fontId="4" fillId="0" borderId="17" xfId="58" applyNumberFormat="1" applyFont="1" applyFill="1" applyBorder="1" applyAlignment="1">
      <alignment horizontal="right" wrapText="1"/>
    </xf>
    <xf numFmtId="49" fontId="4" fillId="0" borderId="18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4" fillId="0" borderId="54" xfId="0" applyFont="1" applyBorder="1" applyAlignment="1">
      <alignment horizontal="center"/>
    </xf>
    <xf numFmtId="49" fontId="4" fillId="0" borderId="51" xfId="0" applyNumberFormat="1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3" fontId="4" fillId="0" borderId="1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9" fontId="4" fillId="0" borderId="63" xfId="0" applyNumberFormat="1" applyFont="1" applyBorder="1" applyAlignment="1">
      <alignment horizontal="center" wrapText="1"/>
    </xf>
    <xf numFmtId="0" fontId="4" fillId="0" borderId="63" xfId="0" applyFont="1" applyBorder="1" applyAlignment="1">
      <alignment wrapText="1"/>
    </xf>
    <xf numFmtId="4" fontId="4" fillId="0" borderId="59" xfId="0" applyNumberFormat="1" applyFont="1" applyFill="1" applyBorder="1" applyAlignment="1">
      <alignment horizontal="right"/>
    </xf>
    <xf numFmtId="4" fontId="4" fillId="0" borderId="63" xfId="0" applyNumberFormat="1" applyFont="1" applyBorder="1" applyAlignment="1">
      <alignment/>
    </xf>
    <xf numFmtId="10" fontId="4" fillId="0" borderId="64" xfId="58" applyNumberFormat="1" applyFont="1" applyFill="1" applyBorder="1" applyAlignment="1">
      <alignment horizontal="right" wrapText="1"/>
    </xf>
    <xf numFmtId="49" fontId="0" fillId="0" borderId="51" xfId="0" applyNumberFormat="1" applyFont="1" applyBorder="1" applyAlignment="1">
      <alignment horizontal="center" wrapText="1"/>
    </xf>
    <xf numFmtId="0" fontId="4" fillId="0" borderId="52" xfId="0" applyFont="1" applyBorder="1" applyAlignment="1">
      <alignment horizontal="center"/>
    </xf>
    <xf numFmtId="4" fontId="4" fillId="0" borderId="41" xfId="0" applyNumberFormat="1" applyFont="1" applyBorder="1" applyAlignment="1">
      <alignment horizontal="right"/>
    </xf>
    <xf numFmtId="0" fontId="4" fillId="0" borderId="58" xfId="0" applyFont="1" applyFill="1" applyBorder="1" applyAlignment="1">
      <alignment wrapText="1"/>
    </xf>
    <xf numFmtId="3" fontId="4" fillId="0" borderId="59" xfId="0" applyNumberFormat="1" applyFont="1" applyBorder="1" applyAlignment="1">
      <alignment horizontal="right"/>
    </xf>
    <xf numFmtId="4" fontId="4" fillId="0" borderId="63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wrapText="1"/>
    </xf>
    <xf numFmtId="4" fontId="4" fillId="0" borderId="22" xfId="0" applyNumberFormat="1" applyFont="1" applyFill="1" applyBorder="1" applyAlignment="1">
      <alignment horizontal="right"/>
    </xf>
    <xf numFmtId="4" fontId="16" fillId="0" borderId="22" xfId="0" applyNumberFormat="1" applyFont="1" applyBorder="1" applyAlignment="1">
      <alignment/>
    </xf>
    <xf numFmtId="0" fontId="7" fillId="33" borderId="38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3" fontId="7" fillId="33" borderId="21" xfId="0" applyNumberFormat="1" applyFont="1" applyFill="1" applyBorder="1" applyAlignment="1">
      <alignment horizontal="center"/>
    </xf>
    <xf numFmtId="3" fontId="7" fillId="33" borderId="22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9" fontId="4" fillId="34" borderId="35" xfId="0" applyNumberFormat="1" applyFont="1" applyFill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16" fillId="0" borderId="41" xfId="0" applyNumberFormat="1" applyFont="1" applyBorder="1" applyAlignment="1">
      <alignment/>
    </xf>
    <xf numFmtId="4" fontId="16" fillId="0" borderId="26" xfId="0" applyNumberFormat="1" applyFont="1" applyBorder="1" applyAlignment="1">
      <alignment/>
    </xf>
    <xf numFmtId="49" fontId="4" fillId="0" borderId="65" xfId="0" applyNumberFormat="1" applyFont="1" applyBorder="1" applyAlignment="1">
      <alignment horizontal="center" wrapText="1"/>
    </xf>
    <xf numFmtId="3" fontId="4" fillId="0" borderId="6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4" fontId="4" fillId="0" borderId="35" xfId="0" applyNumberFormat="1" applyFont="1" applyBorder="1" applyAlignment="1">
      <alignment horizontal="right"/>
    </xf>
    <xf numFmtId="4" fontId="16" fillId="0" borderId="13" xfId="0" applyNumberFormat="1" applyFont="1" applyBorder="1" applyAlignment="1">
      <alignment horizontal="right"/>
    </xf>
    <xf numFmtId="4" fontId="4" fillId="0" borderId="59" xfId="0" applyNumberFormat="1" applyFont="1" applyBorder="1" applyAlignment="1">
      <alignment horizontal="right"/>
    </xf>
    <xf numFmtId="0" fontId="4" fillId="0" borderId="4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167" fontId="0" fillId="0" borderId="0" xfId="42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4" fillId="0" borderId="21" xfId="0" applyNumberFormat="1" applyFont="1" applyFill="1" applyBorder="1" applyAlignment="1">
      <alignment horizontal="center" wrapText="1"/>
    </xf>
    <xf numFmtId="3" fontId="4" fillId="0" borderId="23" xfId="42" applyNumberFormat="1" applyFont="1" applyBorder="1" applyAlignment="1">
      <alignment horizontal="right" wrapText="1"/>
    </xf>
    <xf numFmtId="4" fontId="4" fillId="0" borderId="23" xfId="42" applyNumberFormat="1" applyFont="1" applyBorder="1" applyAlignment="1">
      <alignment horizontal="right" wrapText="1"/>
    </xf>
    <xf numFmtId="0" fontId="4" fillId="0" borderId="35" xfId="0" applyFont="1" applyFill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4" fontId="4" fillId="0" borderId="21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9" fontId="4" fillId="0" borderId="52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wrapText="1"/>
    </xf>
    <xf numFmtId="3" fontId="4" fillId="0" borderId="23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16" fillId="0" borderId="13" xfId="0" applyNumberFormat="1" applyFont="1" applyFill="1" applyBorder="1" applyAlignment="1">
      <alignment horizontal="right"/>
    </xf>
    <xf numFmtId="49" fontId="4" fillId="0" borderId="66" xfId="0" applyNumberFormat="1" applyFont="1" applyBorder="1" applyAlignment="1">
      <alignment horizontal="center" wrapText="1"/>
    </xf>
    <xf numFmtId="3" fontId="4" fillId="0" borderId="60" xfId="0" applyNumberFormat="1" applyFont="1" applyBorder="1" applyAlignment="1">
      <alignment horizontal="right"/>
    </xf>
    <xf numFmtId="4" fontId="4" fillId="0" borderId="60" xfId="0" applyNumberFormat="1" applyFont="1" applyBorder="1" applyAlignment="1">
      <alignment horizontal="right"/>
    </xf>
    <xf numFmtId="0" fontId="0" fillId="0" borderId="18" xfId="0" applyFont="1" applyBorder="1" applyAlignment="1">
      <alignment wrapText="1"/>
    </xf>
    <xf numFmtId="4" fontId="4" fillId="0" borderId="1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49" fontId="4" fillId="0" borderId="67" xfId="0" applyNumberFormat="1" applyFont="1" applyBorder="1" applyAlignment="1">
      <alignment horizontal="center"/>
    </xf>
    <xf numFmtId="49" fontId="4" fillId="0" borderId="6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49" fontId="4" fillId="0" borderId="67" xfId="0" applyNumberFormat="1" applyFont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 wrapText="1"/>
    </xf>
    <xf numFmtId="168" fontId="4" fillId="0" borderId="23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3" fontId="4" fillId="0" borderId="23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3" fontId="4" fillId="0" borderId="35" xfId="0" applyNumberFormat="1" applyFont="1" applyBorder="1" applyAlignment="1">
      <alignment/>
    </xf>
    <xf numFmtId="49" fontId="4" fillId="34" borderId="44" xfId="0" applyNumberFormat="1" applyFont="1" applyFill="1" applyBorder="1" applyAlignment="1">
      <alignment horizontal="center" wrapText="1"/>
    </xf>
    <xf numFmtId="0" fontId="4" fillId="34" borderId="21" xfId="0" applyFont="1" applyFill="1" applyBorder="1" applyAlignment="1">
      <alignment wrapText="1"/>
    </xf>
    <xf numFmtId="3" fontId="4" fillId="0" borderId="67" xfId="0" applyNumberFormat="1" applyFont="1" applyBorder="1" applyAlignment="1">
      <alignment/>
    </xf>
    <xf numFmtId="0" fontId="4" fillId="0" borderId="69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16" fillId="0" borderId="18" xfId="0" applyNumberFormat="1" applyFont="1" applyFill="1" applyBorder="1" applyAlignment="1">
      <alignment horizontal="centerContinuous"/>
    </xf>
    <xf numFmtId="4" fontId="16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/>
    </xf>
    <xf numFmtId="4" fontId="4" fillId="0" borderId="0" xfId="0" applyNumberFormat="1" applyFont="1" applyFill="1" applyAlignment="1">
      <alignment horizontal="left"/>
    </xf>
    <xf numFmtId="0" fontId="4" fillId="0" borderId="70" xfId="0" applyFont="1" applyFill="1" applyBorder="1" applyAlignment="1">
      <alignment horizontal="center"/>
    </xf>
    <xf numFmtId="4" fontId="4" fillId="0" borderId="58" xfId="0" applyNumberFormat="1" applyFont="1" applyFill="1" applyBorder="1" applyAlignment="1">
      <alignment/>
    </xf>
    <xf numFmtId="4" fontId="4" fillId="0" borderId="63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16" fillId="0" borderId="18" xfId="0" applyNumberFormat="1" applyFont="1" applyFill="1" applyBorder="1" applyAlignment="1">
      <alignment/>
    </xf>
    <xf numFmtId="0" fontId="4" fillId="0" borderId="63" xfId="0" applyFont="1" applyFill="1" applyBorder="1" applyAlignment="1">
      <alignment wrapText="1"/>
    </xf>
    <xf numFmtId="4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" fontId="16" fillId="0" borderId="0" xfId="0" applyNumberFormat="1" applyFont="1" applyBorder="1" applyAlignment="1">
      <alignment/>
    </xf>
    <xf numFmtId="3" fontId="4" fillId="0" borderId="67" xfId="0" applyNumberFormat="1" applyFont="1" applyBorder="1" applyAlignment="1">
      <alignment horizontal="right"/>
    </xf>
    <xf numFmtId="49" fontId="4" fillId="0" borderId="44" xfId="0" applyNumberFormat="1" applyFont="1" applyBorder="1" applyAlignment="1">
      <alignment horizontal="center" wrapText="1"/>
    </xf>
    <xf numFmtId="4" fontId="4" fillId="0" borderId="44" xfId="0" applyNumberFormat="1" applyFont="1" applyBorder="1" applyAlignment="1">
      <alignment/>
    </xf>
    <xf numFmtId="4" fontId="4" fillId="0" borderId="62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60" xfId="0" applyFont="1" applyBorder="1" applyAlignment="1">
      <alignment horizontal="center"/>
    </xf>
    <xf numFmtId="4" fontId="4" fillId="0" borderId="58" xfId="0" applyNumberFormat="1" applyFont="1" applyBorder="1" applyAlignment="1">
      <alignment horizontal="right"/>
    </xf>
    <xf numFmtId="4" fontId="4" fillId="0" borderId="7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0" borderId="32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4" fontId="14" fillId="0" borderId="47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1" fillId="33" borderId="49" xfId="0" applyFont="1" applyFill="1" applyBorder="1" applyAlignment="1">
      <alignment horizontal="center"/>
    </xf>
    <xf numFmtId="3" fontId="21" fillId="33" borderId="49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Continuous"/>
    </xf>
    <xf numFmtId="4" fontId="4" fillId="0" borderId="46" xfId="0" applyNumberFormat="1" applyFont="1" applyBorder="1" applyAlignment="1">
      <alignment horizontal="centerContinuous"/>
    </xf>
    <xf numFmtId="0" fontId="7" fillId="0" borderId="42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0" fontId="4" fillId="0" borderId="58" xfId="0" applyFont="1" applyBorder="1" applyAlignment="1">
      <alignment/>
    </xf>
    <xf numFmtId="4" fontId="4" fillId="0" borderId="60" xfId="0" applyNumberFormat="1" applyFont="1" applyBorder="1" applyAlignment="1">
      <alignment/>
    </xf>
    <xf numFmtId="4" fontId="16" fillId="0" borderId="18" xfId="0" applyNumberFormat="1" applyFont="1" applyBorder="1" applyAlignment="1">
      <alignment horizontal="centerContinuous"/>
    </xf>
    <xf numFmtId="3" fontId="4" fillId="0" borderId="60" xfId="0" applyNumberFormat="1" applyFont="1" applyBorder="1" applyAlignment="1">
      <alignment/>
    </xf>
    <xf numFmtId="0" fontId="4" fillId="0" borderId="6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46" xfId="0" applyFont="1" applyBorder="1" applyAlignment="1">
      <alignment/>
    </xf>
    <xf numFmtId="3" fontId="10" fillId="0" borderId="56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4" fontId="11" fillId="0" borderId="47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51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4" fontId="4" fillId="0" borderId="67" xfId="0" applyNumberFormat="1" applyFont="1" applyBorder="1" applyAlignment="1">
      <alignment/>
    </xf>
    <xf numFmtId="0" fontId="0" fillId="0" borderId="51" xfId="0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3" fontId="4" fillId="0" borderId="44" xfId="0" applyNumberFormat="1" applyFont="1" applyBorder="1" applyAlignment="1">
      <alignment/>
    </xf>
    <xf numFmtId="10" fontId="4" fillId="0" borderId="36" xfId="58" applyNumberFormat="1" applyFont="1" applyFill="1" applyBorder="1" applyAlignment="1">
      <alignment horizontal="right" wrapText="1"/>
    </xf>
    <xf numFmtId="0" fontId="10" fillId="0" borderId="20" xfId="0" applyFont="1" applyBorder="1" applyAlignment="1">
      <alignment/>
    </xf>
    <xf numFmtId="0" fontId="10" fillId="0" borderId="56" xfId="0" applyFont="1" applyBorder="1" applyAlignment="1">
      <alignment/>
    </xf>
    <xf numFmtId="0" fontId="11" fillId="0" borderId="19" xfId="0" applyFont="1" applyBorder="1" applyAlignment="1">
      <alignment/>
    </xf>
    <xf numFmtId="0" fontId="8" fillId="0" borderId="71" xfId="0" applyFont="1" applyBorder="1" applyAlignment="1">
      <alignment horizontal="center"/>
    </xf>
    <xf numFmtId="3" fontId="11" fillId="0" borderId="47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3" fontId="7" fillId="33" borderId="32" xfId="0" applyNumberFormat="1" applyFont="1" applyFill="1" applyBorder="1" applyAlignment="1">
      <alignment horizontal="center"/>
    </xf>
    <xf numFmtId="3" fontId="7" fillId="33" borderId="48" xfId="0" applyNumberFormat="1" applyFont="1" applyFill="1" applyBorder="1" applyAlignment="1">
      <alignment horizontal="center"/>
    </xf>
    <xf numFmtId="3" fontId="7" fillId="33" borderId="24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Continuous"/>
    </xf>
    <xf numFmtId="4" fontId="4" fillId="0" borderId="13" xfId="0" applyNumberFormat="1" applyFont="1" applyFill="1" applyBorder="1" applyAlignment="1">
      <alignment/>
    </xf>
    <xf numFmtId="10" fontId="1" fillId="0" borderId="43" xfId="58" applyNumberFormat="1" applyFont="1" applyFill="1" applyBorder="1" applyAlignment="1">
      <alignment horizontal="right" wrapText="1"/>
    </xf>
    <xf numFmtId="0" fontId="4" fillId="0" borderId="34" xfId="0" applyFont="1" applyBorder="1" applyAlignment="1">
      <alignment horizontal="center"/>
    </xf>
    <xf numFmtId="0" fontId="1" fillId="33" borderId="72" xfId="0" applyFont="1" applyFill="1" applyBorder="1" applyAlignment="1">
      <alignment/>
    </xf>
    <xf numFmtId="4" fontId="1" fillId="33" borderId="49" xfId="0" applyNumberFormat="1" applyFont="1" applyFill="1" applyBorder="1" applyAlignment="1">
      <alignment/>
    </xf>
    <xf numFmtId="10" fontId="11" fillId="33" borderId="15" xfId="58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Fill="1" applyAlignment="1">
      <alignment/>
    </xf>
    <xf numFmtId="4" fontId="1" fillId="33" borderId="21" xfId="0" applyNumberFormat="1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/>
    </xf>
    <xf numFmtId="0" fontId="7" fillId="33" borderId="7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51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18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36" xfId="0" applyFont="1" applyBorder="1" applyAlignment="1">
      <alignment/>
    </xf>
    <xf numFmtId="0" fontId="4" fillId="0" borderId="52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34" borderId="23" xfId="53" applyFont="1" applyFill="1" applyBorder="1">
      <alignment/>
      <protection/>
    </xf>
    <xf numFmtId="3" fontId="4" fillId="0" borderId="35" xfId="0" applyNumberFormat="1" applyFont="1" applyBorder="1" applyAlignment="1">
      <alignment/>
    </xf>
    <xf numFmtId="43" fontId="4" fillId="0" borderId="35" xfId="0" applyNumberFormat="1" applyFont="1" applyBorder="1" applyAlignment="1">
      <alignment horizontal="right" wrapText="1"/>
    </xf>
    <xf numFmtId="4" fontId="4" fillId="0" borderId="35" xfId="58" applyNumberFormat="1" applyFont="1" applyFill="1" applyBorder="1" applyAlignment="1">
      <alignment horizontal="right" vertical="center" wrapText="1"/>
    </xf>
    <xf numFmtId="10" fontId="4" fillId="0" borderId="74" xfId="0" applyNumberFormat="1" applyFont="1" applyBorder="1" applyAlignment="1">
      <alignment horizontal="right"/>
    </xf>
    <xf numFmtId="0" fontId="4" fillId="0" borderId="5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43" fontId="4" fillId="0" borderId="18" xfId="0" applyNumberFormat="1" applyFont="1" applyBorder="1" applyAlignment="1">
      <alignment horizontal="right" wrapText="1"/>
    </xf>
    <xf numFmtId="4" fontId="16" fillId="0" borderId="18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3" fontId="4" fillId="0" borderId="18" xfId="0" applyNumberFormat="1" applyFont="1" applyBorder="1" applyAlignment="1">
      <alignment/>
    </xf>
    <xf numFmtId="49" fontId="4" fillId="34" borderId="58" xfId="53" applyNumberFormat="1" applyFont="1" applyFill="1" applyBorder="1" applyAlignment="1">
      <alignment horizontal="center"/>
      <protection/>
    </xf>
    <xf numFmtId="0" fontId="0" fillId="34" borderId="60" xfId="53" applyFont="1" applyFill="1" applyBorder="1">
      <alignment/>
      <protection/>
    </xf>
    <xf numFmtId="3" fontId="4" fillId="0" borderId="58" xfId="0" applyNumberFormat="1" applyFont="1" applyBorder="1" applyAlignment="1">
      <alignment/>
    </xf>
    <xf numFmtId="43" fontId="4" fillId="0" borderId="58" xfId="0" applyNumberFormat="1" applyFont="1" applyBorder="1" applyAlignment="1">
      <alignment horizontal="right" wrapText="1"/>
    </xf>
    <xf numFmtId="4" fontId="4" fillId="0" borderId="58" xfId="58" applyNumberFormat="1" applyFont="1" applyFill="1" applyBorder="1" applyAlignment="1">
      <alignment horizontal="right" vertical="center" wrapText="1"/>
    </xf>
    <xf numFmtId="10" fontId="4" fillId="0" borderId="75" xfId="0" applyNumberFormat="1" applyFont="1" applyBorder="1" applyAlignment="1">
      <alignment horizontal="right"/>
    </xf>
    <xf numFmtId="0" fontId="10" fillId="0" borderId="54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34" borderId="67" xfId="53" applyFont="1" applyFill="1" applyBorder="1">
      <alignment/>
      <protection/>
    </xf>
    <xf numFmtId="4" fontId="4" fillId="0" borderId="35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53" applyFont="1" applyBorder="1">
      <alignment/>
      <protection/>
    </xf>
    <xf numFmtId="0" fontId="0" fillId="0" borderId="67" xfId="53" applyFont="1" applyBorder="1">
      <alignment/>
      <protection/>
    </xf>
    <xf numFmtId="3" fontId="4" fillId="0" borderId="41" xfId="0" applyNumberFormat="1" applyFont="1" applyBorder="1" applyAlignment="1">
      <alignment/>
    </xf>
    <xf numFmtId="43" fontId="4" fillId="0" borderId="41" xfId="0" applyNumberFormat="1" applyFont="1" applyBorder="1" applyAlignment="1">
      <alignment horizontal="right" wrapText="1"/>
    </xf>
    <xf numFmtId="49" fontId="4" fillId="34" borderId="35" xfId="53" applyNumberFormat="1" applyFont="1" applyFill="1" applyBorder="1" applyAlignment="1">
      <alignment horizontal="center"/>
      <protection/>
    </xf>
    <xf numFmtId="0" fontId="0" fillId="0" borderId="23" xfId="53" applyFont="1" applyFill="1" applyBorder="1">
      <alignment/>
      <protection/>
    </xf>
    <xf numFmtId="4" fontId="16" fillId="0" borderId="35" xfId="0" applyNumberFormat="1" applyFont="1" applyBorder="1" applyAlignment="1">
      <alignment/>
    </xf>
    <xf numFmtId="0" fontId="4" fillId="0" borderId="45" xfId="0" applyFont="1" applyBorder="1" applyAlignment="1">
      <alignment/>
    </xf>
    <xf numFmtId="10" fontId="4" fillId="0" borderId="76" xfId="0" applyNumberFormat="1" applyFont="1" applyBorder="1" applyAlignment="1">
      <alignment horizontal="right"/>
    </xf>
    <xf numFmtId="49" fontId="4" fillId="34" borderId="18" xfId="53" applyNumberFormat="1" applyFont="1" applyFill="1" applyBorder="1" applyAlignment="1">
      <alignment horizontal="center"/>
      <protection/>
    </xf>
    <xf numFmtId="0" fontId="0" fillId="34" borderId="13" xfId="53" applyFont="1" applyFill="1" applyBorder="1">
      <alignment/>
      <protection/>
    </xf>
    <xf numFmtId="4" fontId="4" fillId="0" borderId="32" xfId="58" applyNumberFormat="1" applyFont="1" applyFill="1" applyBorder="1" applyAlignment="1">
      <alignment horizontal="right" vertical="center" wrapText="1"/>
    </xf>
    <xf numFmtId="10" fontId="4" fillId="0" borderId="33" xfId="0" applyNumberFormat="1" applyFont="1" applyBorder="1" applyAlignment="1">
      <alignment horizontal="right"/>
    </xf>
    <xf numFmtId="0" fontId="10" fillId="0" borderId="77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56" xfId="0" applyFont="1" applyBorder="1" applyAlignment="1">
      <alignment horizontal="center" vertical="center"/>
    </xf>
    <xf numFmtId="0" fontId="10" fillId="0" borderId="25" xfId="0" applyFont="1" applyBorder="1" applyAlignment="1">
      <alignment/>
    </xf>
    <xf numFmtId="43" fontId="10" fillId="0" borderId="46" xfId="0" applyNumberFormat="1" applyFont="1" applyBorder="1" applyAlignment="1">
      <alignment horizontal="right" wrapText="1"/>
    </xf>
    <xf numFmtId="0" fontId="10" fillId="0" borderId="73" xfId="0" applyFont="1" applyBorder="1" applyAlignment="1">
      <alignment/>
    </xf>
    <xf numFmtId="0" fontId="10" fillId="0" borderId="71" xfId="0" applyFont="1" applyBorder="1" applyAlignment="1">
      <alignment/>
    </xf>
    <xf numFmtId="0" fontId="0" fillId="0" borderId="47" xfId="0" applyFont="1" applyBorder="1" applyAlignment="1">
      <alignment horizontal="center" vertical="center"/>
    </xf>
    <xf numFmtId="0" fontId="11" fillId="0" borderId="24" xfId="0" applyFont="1" applyBorder="1" applyAlignment="1">
      <alignment/>
    </xf>
    <xf numFmtId="3" fontId="11" fillId="0" borderId="32" xfId="0" applyNumberFormat="1" applyFont="1" applyBorder="1" applyAlignment="1">
      <alignment/>
    </xf>
    <xf numFmtId="4" fontId="11" fillId="0" borderId="32" xfId="0" applyNumberFormat="1" applyFont="1" applyBorder="1" applyAlignment="1">
      <alignment/>
    </xf>
    <xf numFmtId="10" fontId="11" fillId="0" borderId="33" xfId="0" applyNumberFormat="1" applyFont="1" applyBorder="1" applyAlignment="1">
      <alignment horizontal="right"/>
    </xf>
    <xf numFmtId="43" fontId="16" fillId="0" borderId="18" xfId="0" applyNumberFormat="1" applyFont="1" applyBorder="1" applyAlignment="1">
      <alignment horizontal="right" wrapText="1"/>
    </xf>
    <xf numFmtId="0" fontId="0" fillId="0" borderId="41" xfId="0" applyFont="1" applyBorder="1" applyAlignment="1">
      <alignment horizontal="center" vertical="center"/>
    </xf>
    <xf numFmtId="0" fontId="0" fillId="0" borderId="45" xfId="53" applyFont="1" applyBorder="1">
      <alignment/>
      <protection/>
    </xf>
    <xf numFmtId="0" fontId="8" fillId="33" borderId="13" xfId="0" applyFont="1" applyFill="1" applyBorder="1" applyAlignment="1">
      <alignment horizontal="center" vertical="center" wrapText="1"/>
    </xf>
    <xf numFmtId="3" fontId="34" fillId="0" borderId="13" xfId="52" applyNumberFormat="1" applyFont="1" applyBorder="1" applyAlignment="1">
      <alignment horizontal="right"/>
      <protection/>
    </xf>
    <xf numFmtId="0" fontId="1" fillId="0" borderId="22" xfId="52" applyFont="1" applyBorder="1" applyAlignment="1">
      <alignment horizontal="center" wrapText="1"/>
      <protection/>
    </xf>
    <xf numFmtId="0" fontId="7" fillId="33" borderId="38" xfId="52" applyFont="1" applyFill="1" applyBorder="1" applyAlignment="1">
      <alignment horizontal="center"/>
      <protection/>
    </xf>
    <xf numFmtId="0" fontId="7" fillId="33" borderId="22" xfId="52" applyFont="1" applyFill="1" applyBorder="1" applyAlignment="1">
      <alignment horizontal="center"/>
      <protection/>
    </xf>
    <xf numFmtId="0" fontId="7" fillId="33" borderId="21" xfId="52" applyFont="1" applyFill="1" applyBorder="1" applyAlignment="1">
      <alignment horizontal="center"/>
      <protection/>
    </xf>
    <xf numFmtId="0" fontId="8" fillId="33" borderId="22" xfId="52" applyFont="1" applyFill="1" applyBorder="1" applyAlignment="1">
      <alignment horizontal="left" vertical="center" wrapText="1"/>
      <protection/>
    </xf>
    <xf numFmtId="0" fontId="7" fillId="33" borderId="44" xfId="52" applyFont="1" applyFill="1" applyBorder="1" applyAlignment="1">
      <alignment horizontal="center"/>
      <protection/>
    </xf>
    <xf numFmtId="9" fontId="0" fillId="0" borderId="0" xfId="58" applyFont="1" applyFill="1" applyBorder="1" applyAlignment="1">
      <alignment/>
    </xf>
    <xf numFmtId="10" fontId="0" fillId="0" borderId="47" xfId="58" applyNumberFormat="1" applyFont="1" applyBorder="1" applyAlignment="1">
      <alignment/>
    </xf>
    <xf numFmtId="10" fontId="14" fillId="0" borderId="0" xfId="58" applyNumberFormat="1" applyFont="1" applyBorder="1" applyAlignment="1">
      <alignment/>
    </xf>
    <xf numFmtId="9" fontId="0" fillId="0" borderId="18" xfId="58" applyFont="1" applyFill="1" applyBorder="1" applyAlignment="1">
      <alignment/>
    </xf>
    <xf numFmtId="10" fontId="0" fillId="0" borderId="32" xfId="58" applyNumberFormat="1" applyFont="1" applyBorder="1" applyAlignment="1">
      <alignment/>
    </xf>
    <xf numFmtId="10" fontId="14" fillId="0" borderId="18" xfId="58" applyNumberFormat="1" applyFont="1" applyBorder="1" applyAlignment="1">
      <alignment/>
    </xf>
    <xf numFmtId="0" fontId="0" fillId="0" borderId="0" xfId="52" applyBorder="1">
      <alignment/>
      <protection/>
    </xf>
    <xf numFmtId="0" fontId="0" fillId="0" borderId="41" xfId="52" applyBorder="1">
      <alignment/>
      <protection/>
    </xf>
    <xf numFmtId="0" fontId="8" fillId="33" borderId="44" xfId="52" applyFont="1" applyFill="1" applyBorder="1" applyAlignment="1">
      <alignment horizontal="left" vertical="center" wrapText="1"/>
      <protection/>
    </xf>
    <xf numFmtId="0" fontId="0" fillId="0" borderId="14" xfId="52" applyBorder="1">
      <alignment/>
      <protection/>
    </xf>
    <xf numFmtId="4" fontId="0" fillId="0" borderId="0" xfId="58" applyNumberFormat="1" applyFont="1" applyBorder="1" applyAlignment="1">
      <alignment/>
    </xf>
    <xf numFmtId="4" fontId="0" fillId="0" borderId="18" xfId="58" applyNumberFormat="1" applyFont="1" applyBorder="1" applyAlignment="1">
      <alignment/>
    </xf>
    <xf numFmtId="4" fontId="0" fillId="0" borderId="18" xfId="58" applyNumberFormat="1" applyFont="1" applyBorder="1" applyAlignment="1">
      <alignment/>
    </xf>
    <xf numFmtId="4" fontId="0" fillId="0" borderId="0" xfId="58" applyNumberFormat="1" applyFont="1" applyBorder="1" applyAlignment="1">
      <alignment/>
    </xf>
    <xf numFmtId="4" fontId="0" fillId="0" borderId="0" xfId="58" applyNumberFormat="1" applyFont="1" applyBorder="1" applyAlignment="1">
      <alignment/>
    </xf>
    <xf numFmtId="4" fontId="0" fillId="0" borderId="18" xfId="58" applyNumberFormat="1" applyFont="1" applyBorder="1" applyAlignment="1">
      <alignment/>
    </xf>
    <xf numFmtId="4" fontId="0" fillId="0" borderId="0" xfId="58" applyNumberFormat="1" applyFont="1" applyFill="1" applyBorder="1" applyAlignment="1">
      <alignment/>
    </xf>
    <xf numFmtId="4" fontId="0" fillId="0" borderId="18" xfId="58" applyNumberFormat="1" applyFont="1" applyFill="1" applyBorder="1" applyAlignment="1">
      <alignment/>
    </xf>
    <xf numFmtId="0" fontId="8" fillId="33" borderId="44" xfId="52" applyFont="1" applyFill="1" applyBorder="1" applyAlignment="1">
      <alignment horizontal="center" vertical="center" wrapText="1"/>
      <protection/>
    </xf>
    <xf numFmtId="4" fontId="0" fillId="0" borderId="18" xfId="52" applyNumberFormat="1" applyFont="1" applyBorder="1" applyAlignment="1">
      <alignment horizontal="right" vertical="center"/>
      <protection/>
    </xf>
    <xf numFmtId="0" fontId="8" fillId="33" borderId="21" xfId="52" applyFont="1" applyFill="1" applyBorder="1" applyAlignment="1">
      <alignment horizontal="center" vertical="center" wrapText="1"/>
      <protection/>
    </xf>
    <xf numFmtId="4" fontId="0" fillId="0" borderId="0" xfId="58" applyNumberFormat="1" applyFont="1" applyFill="1" applyBorder="1" applyAlignment="1">
      <alignment/>
    </xf>
    <xf numFmtId="4" fontId="0" fillId="0" borderId="18" xfId="58" applyNumberFormat="1" applyFont="1" applyFill="1" applyBorder="1" applyAlignment="1">
      <alignment/>
    </xf>
    <xf numFmtId="4" fontId="0" fillId="0" borderId="56" xfId="58" applyNumberFormat="1" applyFont="1" applyFill="1" applyBorder="1" applyAlignment="1">
      <alignment/>
    </xf>
    <xf numFmtId="4" fontId="0" fillId="0" borderId="46" xfId="58" applyNumberFormat="1" applyFont="1" applyFill="1" applyBorder="1" applyAlignment="1">
      <alignment/>
    </xf>
    <xf numFmtId="3" fontId="0" fillId="0" borderId="0" xfId="52" applyNumberFormat="1">
      <alignment/>
      <protection/>
    </xf>
    <xf numFmtId="0" fontId="7" fillId="33" borderId="17" xfId="52" applyFont="1" applyFill="1" applyBorder="1" applyAlignment="1">
      <alignment horizontal="center"/>
      <protection/>
    </xf>
    <xf numFmtId="10" fontId="8" fillId="0" borderId="16" xfId="58" applyNumberFormat="1" applyFont="1" applyBorder="1" applyAlignment="1">
      <alignment horizontal="right" vertical="center"/>
    </xf>
    <xf numFmtId="10" fontId="0" fillId="0" borderId="14" xfId="58" applyNumberFormat="1" applyFont="1" applyBorder="1" applyAlignment="1">
      <alignment horizontal="right" vertical="center"/>
    </xf>
    <xf numFmtId="10" fontId="0" fillId="0" borderId="14" xfId="58" applyNumberFormat="1" applyFont="1" applyBorder="1" applyAlignment="1">
      <alignment/>
    </xf>
    <xf numFmtId="10" fontId="0" fillId="0" borderId="14" xfId="58" applyNumberFormat="1" applyFont="1" applyFill="1" applyBorder="1" applyAlignment="1">
      <alignment horizontal="right" vertical="center"/>
    </xf>
    <xf numFmtId="10" fontId="0" fillId="0" borderId="14" xfId="58" applyNumberFormat="1" applyFont="1" applyFill="1" applyBorder="1" applyAlignment="1">
      <alignment/>
    </xf>
    <xf numFmtId="10" fontId="0" fillId="0" borderId="42" xfId="58" applyNumberFormat="1" applyFont="1" applyFill="1" applyBorder="1" applyAlignment="1">
      <alignment/>
    </xf>
    <xf numFmtId="10" fontId="8" fillId="0" borderId="43" xfId="58" applyNumberFormat="1" applyFont="1" applyFill="1" applyBorder="1" applyAlignment="1">
      <alignment horizontal="right" vertical="center"/>
    </xf>
    <xf numFmtId="10" fontId="0" fillId="0" borderId="14" xfId="58" applyNumberFormat="1" applyFont="1" applyBorder="1" applyAlignment="1">
      <alignment horizontal="right"/>
    </xf>
    <xf numFmtId="10" fontId="0" fillId="0" borderId="43" xfId="58" applyNumberFormat="1" applyFont="1" applyBorder="1" applyAlignment="1">
      <alignment/>
    </xf>
    <xf numFmtId="10" fontId="14" fillId="0" borderId="14" xfId="58" applyNumberFormat="1" applyFont="1" applyBorder="1" applyAlignment="1">
      <alignment/>
    </xf>
    <xf numFmtId="10" fontId="11" fillId="0" borderId="43" xfId="58" applyNumberFormat="1" applyFont="1" applyBorder="1" applyAlignment="1">
      <alignment horizontal="right" vertical="center"/>
    </xf>
    <xf numFmtId="0" fontId="0" fillId="33" borderId="38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1" fillId="0" borderId="24" xfId="0" applyNumberFormat="1" applyFont="1" applyBorder="1" applyAlignment="1">
      <alignment horizontal="center" vertical="center"/>
    </xf>
    <xf numFmtId="0" fontId="7" fillId="33" borderId="38" xfId="52" applyFont="1" applyFill="1" applyBorder="1" applyAlignment="1">
      <alignment horizontal="centerContinuous"/>
      <protection/>
    </xf>
    <xf numFmtId="0" fontId="7" fillId="33" borderId="21" xfId="52" applyFont="1" applyFill="1" applyBorder="1" applyAlignment="1">
      <alignment horizontal="centerContinuous"/>
      <protection/>
    </xf>
    <xf numFmtId="0" fontId="7" fillId="33" borderId="22" xfId="52" applyFont="1" applyFill="1" applyBorder="1" applyAlignment="1">
      <alignment horizontal="centerContinuous"/>
      <protection/>
    </xf>
    <xf numFmtId="0" fontId="8" fillId="33" borderId="22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Continuous"/>
      <protection/>
    </xf>
    <xf numFmtId="0" fontId="7" fillId="0" borderId="35" xfId="52" applyFont="1" applyFill="1" applyBorder="1" applyAlignment="1">
      <alignment horizontal="centerContinuous"/>
      <protection/>
    </xf>
    <xf numFmtId="0" fontId="7" fillId="0" borderId="23" xfId="52" applyFont="1" applyFill="1" applyBorder="1" applyAlignment="1">
      <alignment horizontal="centerContinuous"/>
      <protection/>
    </xf>
    <xf numFmtId="0" fontId="7" fillId="0" borderId="23" xfId="52" applyFont="1" applyFill="1" applyBorder="1" applyAlignment="1">
      <alignment horizontal="center"/>
      <protection/>
    </xf>
    <xf numFmtId="0" fontId="7" fillId="0" borderId="16" xfId="52" applyFont="1" applyFill="1" applyBorder="1" applyAlignment="1">
      <alignment horizontal="center"/>
      <protection/>
    </xf>
    <xf numFmtId="3" fontId="0" fillId="0" borderId="0" xfId="52" applyNumberFormat="1" applyFont="1" applyFill="1">
      <alignment/>
      <protection/>
    </xf>
    <xf numFmtId="0" fontId="7" fillId="0" borderId="21" xfId="52" applyFont="1" applyFill="1" applyBorder="1" applyAlignment="1">
      <alignment horizontal="center"/>
      <protection/>
    </xf>
    <xf numFmtId="0" fontId="10" fillId="0" borderId="38" xfId="52" applyFont="1" applyBorder="1" applyAlignment="1">
      <alignment horizontal="center"/>
      <protection/>
    </xf>
    <xf numFmtId="0" fontId="10" fillId="0" borderId="22" xfId="52" applyFont="1" applyBorder="1" applyAlignment="1">
      <alignment horizontal="center"/>
      <protection/>
    </xf>
    <xf numFmtId="3" fontId="11" fillId="0" borderId="22" xfId="52" applyNumberFormat="1" applyFont="1" applyBorder="1" applyAlignment="1">
      <alignment horizontal="right"/>
      <protection/>
    </xf>
    <xf numFmtId="4" fontId="11" fillId="0" borderId="22" xfId="52" applyNumberFormat="1" applyFont="1" applyBorder="1" applyAlignment="1">
      <alignment horizontal="right"/>
      <protection/>
    </xf>
    <xf numFmtId="10" fontId="11" fillId="0" borderId="17" xfId="58" applyNumberFormat="1" applyFont="1" applyBorder="1" applyAlignment="1">
      <alignment/>
    </xf>
    <xf numFmtId="4" fontId="11" fillId="0" borderId="24" xfId="52" applyNumberFormat="1" applyFont="1" applyBorder="1" applyAlignment="1">
      <alignment horizontal="right"/>
      <protection/>
    </xf>
    <xf numFmtId="43" fontId="14" fillId="0" borderId="0" xfId="0" applyNumberFormat="1" applyFont="1" applyFill="1" applyAlignment="1">
      <alignment/>
    </xf>
    <xf numFmtId="0" fontId="14" fillId="0" borderId="0" xfId="0" applyFont="1" applyAlignment="1">
      <alignment horizontal="right"/>
    </xf>
    <xf numFmtId="0" fontId="45" fillId="34" borderId="0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43" fontId="17" fillId="0" borderId="0" xfId="0" applyNumberFormat="1" applyFont="1" applyFill="1" applyAlignment="1">
      <alignment/>
    </xf>
    <xf numFmtId="3" fontId="46" fillId="0" borderId="13" xfId="52" applyNumberFormat="1" applyFont="1" applyBorder="1" applyAlignment="1">
      <alignment horizontal="right"/>
      <protection/>
    </xf>
    <xf numFmtId="4" fontId="46" fillId="0" borderId="13" xfId="52" applyNumberFormat="1" applyFont="1" applyBorder="1" applyAlignment="1">
      <alignment horizontal="right"/>
      <protection/>
    </xf>
    <xf numFmtId="3" fontId="14" fillId="0" borderId="13" xfId="52" applyNumberFormat="1" applyFont="1" applyBorder="1" applyAlignment="1">
      <alignment horizontal="center"/>
      <protection/>
    </xf>
    <xf numFmtId="3" fontId="14" fillId="0" borderId="13" xfId="52" applyNumberFormat="1" applyFont="1" applyBorder="1" applyAlignment="1">
      <alignment horizontal="right" vertical="center"/>
      <protection/>
    </xf>
    <xf numFmtId="4" fontId="14" fillId="0" borderId="0" xfId="58" applyNumberFormat="1" applyFont="1" applyBorder="1" applyAlignment="1">
      <alignment/>
    </xf>
    <xf numFmtId="4" fontId="14" fillId="0" borderId="18" xfId="58" applyNumberFormat="1" applyFont="1" applyBorder="1" applyAlignment="1">
      <alignment/>
    </xf>
    <xf numFmtId="3" fontId="14" fillId="0" borderId="13" xfId="52" applyNumberFormat="1" applyFont="1" applyBorder="1" applyAlignment="1">
      <alignment horizontal="right"/>
      <protection/>
    </xf>
    <xf numFmtId="4" fontId="14" fillId="0" borderId="18" xfId="52" applyNumberFormat="1" applyFont="1" applyBorder="1" applyAlignment="1">
      <alignment/>
      <protection/>
    </xf>
    <xf numFmtId="4" fontId="14" fillId="0" borderId="0" xfId="58" applyNumberFormat="1" applyFont="1" applyBorder="1" applyAlignment="1">
      <alignment/>
    </xf>
    <xf numFmtId="4" fontId="14" fillId="0" borderId="18" xfId="58" applyNumberFormat="1" applyFont="1" applyBorder="1" applyAlignment="1">
      <alignment/>
    </xf>
    <xf numFmtId="4" fontId="14" fillId="0" borderId="18" xfId="52" applyNumberFormat="1" applyFont="1" applyBorder="1">
      <alignment/>
      <protection/>
    </xf>
    <xf numFmtId="4" fontId="14" fillId="0" borderId="0" xfId="58" applyNumberFormat="1" applyFont="1" applyFill="1" applyBorder="1" applyAlignment="1">
      <alignment/>
    </xf>
    <xf numFmtId="4" fontId="14" fillId="0" borderId="18" xfId="52" applyNumberFormat="1" applyFont="1" applyBorder="1" applyAlignment="1">
      <alignment horizontal="right"/>
      <protection/>
    </xf>
    <xf numFmtId="0" fontId="14" fillId="0" borderId="10" xfId="0" applyFont="1" applyBorder="1" applyAlignment="1">
      <alignment horizontal="center" vertical="top"/>
    </xf>
    <xf numFmtId="0" fontId="14" fillId="0" borderId="13" xfId="0" applyFont="1" applyBorder="1" applyAlignment="1">
      <alignment/>
    </xf>
    <xf numFmtId="4" fontId="14" fillId="0" borderId="13" xfId="0" applyNumberFormat="1" applyFont="1" applyBorder="1" applyAlignment="1">
      <alignment horizontal="right" vertical="center"/>
    </xf>
    <xf numFmtId="4" fontId="14" fillId="0" borderId="18" xfId="0" applyNumberFormat="1" applyFont="1" applyBorder="1" applyAlignment="1">
      <alignment horizontal="right" vertical="center"/>
    </xf>
    <xf numFmtId="3" fontId="14" fillId="0" borderId="36" xfId="0" applyNumberFormat="1" applyFont="1" applyBorder="1" applyAlignment="1">
      <alignment horizontal="right"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" fontId="14" fillId="0" borderId="18" xfId="0" applyNumberFormat="1" applyFont="1" applyFill="1" applyBorder="1" applyAlignment="1">
      <alignment horizontal="right" vertical="center"/>
    </xf>
    <xf numFmtId="3" fontId="14" fillId="0" borderId="36" xfId="0" applyNumberFormat="1" applyFont="1" applyFill="1" applyBorder="1" applyAlignment="1">
      <alignment horizontal="right"/>
    </xf>
    <xf numFmtId="4" fontId="0" fillId="0" borderId="18" xfId="52" applyNumberFormat="1" applyFont="1" applyFill="1" applyBorder="1">
      <alignment/>
      <protection/>
    </xf>
    <xf numFmtId="43" fontId="14" fillId="0" borderId="0" xfId="42" applyFont="1" applyAlignment="1">
      <alignment/>
    </xf>
    <xf numFmtId="3" fontId="0" fillId="0" borderId="13" xfId="0" applyNumberFormat="1" applyFont="1" applyBorder="1" applyAlignment="1">
      <alignment horizontal="right"/>
    </xf>
    <xf numFmtId="10" fontId="0" fillId="0" borderId="14" xfId="58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3" fontId="14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4" fontId="4" fillId="0" borderId="0" xfId="52" applyNumberFormat="1" applyFont="1">
      <alignment/>
      <protection/>
    </xf>
    <xf numFmtId="4" fontId="0" fillId="0" borderId="0" xfId="52" applyNumberFormat="1" applyFont="1">
      <alignment/>
      <protection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21" fillId="35" borderId="73" xfId="0" applyFont="1" applyFill="1" applyBorder="1" applyAlignment="1">
      <alignment horizontal="center" wrapText="1"/>
    </xf>
    <xf numFmtId="0" fontId="21" fillId="35" borderId="32" xfId="0" applyFont="1" applyFill="1" applyBorder="1" applyAlignment="1">
      <alignment horizontal="center" wrapText="1"/>
    </xf>
    <xf numFmtId="0" fontId="21" fillId="35" borderId="32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4" fillId="0" borderId="3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right" vertical="center" wrapText="1"/>
    </xf>
    <xf numFmtId="167" fontId="4" fillId="0" borderId="21" xfId="42" applyNumberFormat="1" applyFont="1" applyFill="1" applyBorder="1" applyAlignment="1">
      <alignment horizontal="right" vertical="center" wrapText="1"/>
    </xf>
    <xf numFmtId="43" fontId="4" fillId="0" borderId="21" xfId="42" applyFont="1" applyFill="1" applyBorder="1" applyAlignment="1">
      <alignment horizontal="right" vertical="center" wrapText="1"/>
    </xf>
    <xf numFmtId="0" fontId="47" fillId="34" borderId="0" xfId="0" applyFont="1" applyFill="1" applyBorder="1" applyAlignment="1">
      <alignment vertical="center" wrapText="1"/>
    </xf>
    <xf numFmtId="43" fontId="4" fillId="0" borderId="35" xfId="42" applyFont="1" applyFill="1" applyBorder="1" applyAlignment="1">
      <alignment horizontal="right" vertical="center" wrapText="1"/>
    </xf>
    <xf numFmtId="43" fontId="4" fillId="0" borderId="18" xfId="42" applyFont="1" applyFill="1" applyBorder="1" applyAlignment="1">
      <alignment horizontal="right" vertical="center" wrapText="1"/>
    </xf>
    <xf numFmtId="43" fontId="0" fillId="0" borderId="0" xfId="0" applyNumberFormat="1" applyFont="1" applyAlignment="1">
      <alignment/>
    </xf>
    <xf numFmtId="0" fontId="12" fillId="0" borderId="0" xfId="0" applyFont="1" applyAlignment="1">
      <alignment horizontal="right" vertical="center"/>
    </xf>
    <xf numFmtId="0" fontId="21" fillId="35" borderId="4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right" vertical="center" wrapText="1"/>
    </xf>
    <xf numFmtId="167" fontId="4" fillId="34" borderId="21" xfId="42" applyNumberFormat="1" applyFont="1" applyFill="1" applyBorder="1" applyAlignment="1">
      <alignment horizontal="right" vertical="center" wrapText="1"/>
    </xf>
    <xf numFmtId="43" fontId="2" fillId="0" borderId="21" xfId="42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right" vertical="center" wrapText="1"/>
    </xf>
    <xf numFmtId="167" fontId="4" fillId="0" borderId="35" xfId="42" applyNumberFormat="1" applyFont="1" applyFill="1" applyBorder="1" applyAlignment="1">
      <alignment horizontal="right" vertical="center" wrapText="1"/>
    </xf>
    <xf numFmtId="43" fontId="2" fillId="0" borderId="35" xfId="42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167" fontId="4" fillId="0" borderId="18" xfId="42" applyNumberFormat="1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/>
    </xf>
    <xf numFmtId="3" fontId="1" fillId="34" borderId="78" xfId="42" applyNumberFormat="1" applyFont="1" applyFill="1" applyBorder="1" applyAlignment="1">
      <alignment horizontal="right" vertical="center" wrapText="1"/>
    </xf>
    <xf numFmtId="10" fontId="8" fillId="0" borderId="79" xfId="58" applyNumberFormat="1" applyFont="1" applyBorder="1" applyAlignment="1">
      <alignment vertic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16" fillId="0" borderId="0" xfId="0" applyFont="1" applyAlignment="1">
      <alignment/>
    </xf>
    <xf numFmtId="10" fontId="16" fillId="0" borderId="27" xfId="58" applyNumberFormat="1" applyFont="1" applyFill="1" applyBorder="1" applyAlignment="1">
      <alignment horizontal="right" wrapText="1"/>
    </xf>
    <xf numFmtId="10" fontId="16" fillId="0" borderId="14" xfId="58" applyNumberFormat="1" applyFont="1" applyFill="1" applyBorder="1" applyAlignment="1">
      <alignment horizontal="right" wrapText="1"/>
    </xf>
    <xf numFmtId="3" fontId="16" fillId="0" borderId="13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3" fontId="16" fillId="0" borderId="13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10" fontId="16" fillId="0" borderId="17" xfId="58" applyNumberFormat="1" applyFont="1" applyFill="1" applyBorder="1" applyAlignment="1">
      <alignment horizontal="right" wrapText="1"/>
    </xf>
    <xf numFmtId="3" fontId="16" fillId="0" borderId="13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/>
    </xf>
    <xf numFmtId="3" fontId="16" fillId="0" borderId="45" xfId="0" applyNumberFormat="1" applyFont="1" applyBorder="1" applyAlignment="1">
      <alignment/>
    </xf>
    <xf numFmtId="0" fontId="49" fillId="0" borderId="13" xfId="0" applyFont="1" applyFill="1" applyBorder="1" applyAlignment="1">
      <alignment horizontal="right"/>
    </xf>
    <xf numFmtId="4" fontId="49" fillId="0" borderId="13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10" fontId="16" fillId="0" borderId="0" xfId="58" applyNumberFormat="1" applyFont="1" applyFill="1" applyBorder="1" applyAlignment="1">
      <alignment horizontal="right" wrapText="1"/>
    </xf>
    <xf numFmtId="4" fontId="15" fillId="0" borderId="47" xfId="0" applyNumberFormat="1" applyFont="1" applyBorder="1" applyAlignment="1">
      <alignment horizontal="right"/>
    </xf>
    <xf numFmtId="4" fontId="16" fillId="0" borderId="46" xfId="0" applyNumberFormat="1" applyFont="1" applyBorder="1" applyAlignment="1">
      <alignment horizontal="centerContinuous"/>
    </xf>
    <xf numFmtId="0" fontId="49" fillId="0" borderId="42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3" fontId="23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5" fillId="0" borderId="47" xfId="0" applyFont="1" applyBorder="1" applyAlignment="1">
      <alignment horizontal="right"/>
    </xf>
    <xf numFmtId="0" fontId="18" fillId="0" borderId="46" xfId="0" applyFont="1" applyBorder="1" applyAlignment="1">
      <alignment/>
    </xf>
    <xf numFmtId="0" fontId="18" fillId="0" borderId="18" xfId="0" applyFont="1" applyBorder="1" applyAlignment="1">
      <alignment/>
    </xf>
    <xf numFmtId="4" fontId="16" fillId="0" borderId="35" xfId="58" applyNumberFormat="1" applyFont="1" applyFill="1" applyBorder="1" applyAlignment="1">
      <alignment horizontal="right" vertical="center" wrapText="1"/>
    </xf>
    <xf numFmtId="10" fontId="16" fillId="0" borderId="36" xfId="0" applyNumberFormat="1" applyFont="1" applyBorder="1" applyAlignment="1">
      <alignment horizontal="right"/>
    </xf>
    <xf numFmtId="4" fontId="16" fillId="0" borderId="41" xfId="58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/>
    </xf>
    <xf numFmtId="4" fontId="4" fillId="0" borderId="59" xfId="0" applyNumberFormat="1" applyFont="1" applyBorder="1" applyAlignment="1">
      <alignment/>
    </xf>
    <xf numFmtId="4" fontId="4" fillId="0" borderId="22" xfId="0" applyNumberFormat="1" applyFont="1" applyFill="1" applyBorder="1" applyAlignment="1">
      <alignment horizontal="center"/>
    </xf>
    <xf numFmtId="4" fontId="4" fillId="0" borderId="6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62" xfId="0" applyNumberFormat="1" applyFont="1" applyBorder="1" applyAlignment="1">
      <alignment horizontal="right"/>
    </xf>
    <xf numFmtId="4" fontId="4" fillId="0" borderId="59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4" fontId="4" fillId="0" borderId="58" xfId="0" applyNumberFormat="1" applyFont="1" applyBorder="1" applyAlignment="1">
      <alignment/>
    </xf>
    <xf numFmtId="10" fontId="4" fillId="0" borderId="74" xfId="58" applyNumberFormat="1" applyFont="1" applyBorder="1" applyAlignment="1">
      <alignment horizontal="right"/>
    </xf>
    <xf numFmtId="10" fontId="16" fillId="0" borderId="76" xfId="58" applyNumberFormat="1" applyFont="1" applyBorder="1" applyAlignment="1">
      <alignment horizontal="right"/>
    </xf>
    <xf numFmtId="10" fontId="16" fillId="0" borderId="74" xfId="58" applyNumberFormat="1" applyFont="1" applyBorder="1" applyAlignment="1">
      <alignment horizontal="right"/>
    </xf>
    <xf numFmtId="10" fontId="16" fillId="0" borderId="36" xfId="58" applyNumberFormat="1" applyFont="1" applyBorder="1" applyAlignment="1">
      <alignment horizontal="right"/>
    </xf>
    <xf numFmtId="4" fontId="4" fillId="0" borderId="41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3" fontId="4" fillId="0" borderId="22" xfId="42" applyNumberFormat="1" applyFont="1" applyBorder="1" applyAlignment="1">
      <alignment horizontal="right" wrapText="1"/>
    </xf>
    <xf numFmtId="4" fontId="4" fillId="0" borderId="21" xfId="42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center"/>
    </xf>
    <xf numFmtId="4" fontId="4" fillId="0" borderId="67" xfId="0" applyNumberFormat="1" applyFont="1" applyBorder="1" applyAlignment="1">
      <alignment horizontal="right"/>
    </xf>
    <xf numFmtId="0" fontId="52" fillId="0" borderId="0" xfId="0" applyFont="1" applyAlignment="1">
      <alignment horizontal="left"/>
    </xf>
    <xf numFmtId="4" fontId="16" fillId="0" borderId="13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4" fontId="53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8" fillId="33" borderId="23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Continuous"/>
    </xf>
    <xf numFmtId="3" fontId="7" fillId="33" borderId="24" xfId="0" applyNumberFormat="1" applyFont="1" applyFill="1" applyBorder="1" applyAlignment="1">
      <alignment horizontal="center"/>
    </xf>
    <xf numFmtId="3" fontId="7" fillId="33" borderId="32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10" fontId="0" fillId="0" borderId="42" xfId="58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10" fontId="0" fillId="0" borderId="16" xfId="58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10" fontId="0" fillId="0" borderId="14" xfId="58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0" fontId="0" fillId="0" borderId="27" xfId="58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57" xfId="0" applyFont="1" applyBorder="1" applyAlignment="1">
      <alignment horizontal="center"/>
    </xf>
    <xf numFmtId="4" fontId="0" fillId="0" borderId="60" xfId="0" applyNumberFormat="1" applyFont="1" applyBorder="1" applyAlignment="1">
      <alignment/>
    </xf>
    <xf numFmtId="4" fontId="0" fillId="0" borderId="58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" fontId="1" fillId="0" borderId="32" xfId="0" applyNumberFormat="1" applyFont="1" applyBorder="1" applyAlignment="1">
      <alignment/>
    </xf>
    <xf numFmtId="10" fontId="1" fillId="0" borderId="32" xfId="58" applyNumberFormat="1" applyFont="1" applyBorder="1" applyAlignment="1">
      <alignment horizontal="center"/>
    </xf>
    <xf numFmtId="0" fontId="54" fillId="0" borderId="0" xfId="0" applyFont="1" applyAlignment="1">
      <alignment/>
    </xf>
    <xf numFmtId="4" fontId="0" fillId="0" borderId="0" xfId="58" applyNumberFormat="1" applyFont="1" applyAlignment="1">
      <alignment/>
    </xf>
    <xf numFmtId="4" fontId="11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53" fillId="0" borderId="0" xfId="0" applyNumberFormat="1" applyFont="1" applyBorder="1" applyAlignment="1">
      <alignment horizontal="right"/>
    </xf>
    <xf numFmtId="4" fontId="12" fillId="0" borderId="0" xfId="0" applyNumberFormat="1" applyFont="1" applyAlignment="1">
      <alignment horizontal="right" vertical="center"/>
    </xf>
    <xf numFmtId="1" fontId="7" fillId="33" borderId="80" xfId="0" applyNumberFormat="1" applyFont="1" applyFill="1" applyBorder="1" applyAlignment="1">
      <alignment horizontal="center"/>
    </xf>
    <xf numFmtId="1" fontId="7" fillId="33" borderId="81" xfId="0" applyNumberFormat="1" applyFont="1" applyFill="1" applyBorder="1" applyAlignment="1">
      <alignment horizontal="center"/>
    </xf>
    <xf numFmtId="1" fontId="7" fillId="33" borderId="81" xfId="0" applyNumberFormat="1" applyFont="1" applyFill="1" applyBorder="1" applyAlignment="1">
      <alignment horizontal="centerContinuous"/>
    </xf>
    <xf numFmtId="1" fontId="7" fillId="33" borderId="82" xfId="0" applyNumberFormat="1" applyFont="1" applyFill="1" applyBorder="1" applyAlignment="1">
      <alignment horizontal="center"/>
    </xf>
    <xf numFmtId="49" fontId="7" fillId="33" borderId="83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23" xfId="0" applyFont="1" applyBorder="1" applyAlignment="1">
      <alignment horizontal="center"/>
    </xf>
    <xf numFmtId="9" fontId="0" fillId="0" borderId="27" xfId="58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9" fontId="0" fillId="0" borderId="60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10" fontId="0" fillId="0" borderId="64" xfId="58" applyNumberFormat="1" applyFont="1" applyBorder="1" applyAlignment="1">
      <alignment horizontal="center"/>
    </xf>
    <xf numFmtId="9" fontId="0" fillId="0" borderId="14" xfId="58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5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60" xfId="0" applyFont="1" applyBorder="1" applyAlignment="1">
      <alignment horizontal="center"/>
    </xf>
    <xf numFmtId="4" fontId="0" fillId="0" borderId="68" xfId="0" applyNumberFormat="1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10" fontId="0" fillId="0" borderId="43" xfId="58" applyNumberFormat="1" applyFont="1" applyBorder="1" applyAlignment="1">
      <alignment horizontal="center"/>
    </xf>
    <xf numFmtId="0" fontId="7" fillId="33" borderId="84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3" fontId="7" fillId="33" borderId="29" xfId="0" applyNumberFormat="1" applyFont="1" applyFill="1" applyBorder="1" applyAlignment="1">
      <alignment horizontal="center"/>
    </xf>
    <xf numFmtId="1" fontId="7" fillId="33" borderId="50" xfId="58" applyNumberFormat="1" applyFont="1" applyFill="1" applyBorder="1" applyAlignment="1">
      <alignment horizontal="center"/>
    </xf>
    <xf numFmtId="9" fontId="0" fillId="0" borderId="27" xfId="58" applyFont="1" applyBorder="1" applyAlignment="1">
      <alignment/>
    </xf>
    <xf numFmtId="0" fontId="0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3" fontId="7" fillId="33" borderId="22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9" fontId="0" fillId="0" borderId="27" xfId="58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0" fillId="0" borderId="13" xfId="64" applyNumberFormat="1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46" xfId="0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" fillId="0" borderId="32" xfId="0" applyFont="1" applyBorder="1" applyAlignment="1">
      <alignment/>
    </xf>
    <xf numFmtId="4" fontId="1" fillId="0" borderId="24" xfId="0" applyNumberFormat="1" applyFont="1" applyBorder="1" applyAlignment="1">
      <alignment/>
    </xf>
    <xf numFmtId="10" fontId="1" fillId="0" borderId="43" xfId="58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9" fontId="0" fillId="0" borderId="0" xfId="58" applyFont="1" applyBorder="1" applyAlignment="1">
      <alignment/>
    </xf>
    <xf numFmtId="4" fontId="1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1" fontId="7" fillId="33" borderId="19" xfId="0" applyNumberFormat="1" applyFont="1" applyFill="1" applyBorder="1" applyAlignment="1">
      <alignment horizontal="center"/>
    </xf>
    <xf numFmtId="1" fontId="7" fillId="33" borderId="24" xfId="0" applyNumberFormat="1" applyFont="1" applyFill="1" applyBorder="1" applyAlignment="1">
      <alignment horizontal="center"/>
    </xf>
    <xf numFmtId="1" fontId="7" fillId="33" borderId="24" xfId="0" applyNumberFormat="1" applyFont="1" applyFill="1" applyBorder="1" applyAlignment="1">
      <alignment horizontal="centerContinuous"/>
    </xf>
    <xf numFmtId="1" fontId="7" fillId="33" borderId="32" xfId="0" applyNumberFormat="1" applyFont="1" applyFill="1" applyBorder="1" applyAlignment="1">
      <alignment horizontal="center"/>
    </xf>
    <xf numFmtId="49" fontId="0" fillId="0" borderId="60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4" fontId="0" fillId="0" borderId="60" xfId="0" applyNumberFormat="1" applyFont="1" applyFill="1" applyBorder="1" applyAlignment="1">
      <alignment/>
    </xf>
    <xf numFmtId="10" fontId="11" fillId="0" borderId="27" xfId="58" applyNumberFormat="1" applyFont="1" applyBorder="1" applyAlignment="1">
      <alignment horizontal="center"/>
    </xf>
    <xf numFmtId="10" fontId="0" fillId="0" borderId="14" xfId="58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0" fontId="0" fillId="0" borderId="64" xfId="58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10" fontId="1" fillId="0" borderId="14" xfId="58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4" fontId="0" fillId="0" borderId="43" xfId="0" applyNumberFormat="1" applyFont="1" applyBorder="1" applyAlignment="1">
      <alignment/>
    </xf>
    <xf numFmtId="0" fontId="7" fillId="33" borderId="72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Continuous"/>
    </xf>
    <xf numFmtId="3" fontId="7" fillId="33" borderId="49" xfId="0" applyNumberFormat="1" applyFont="1" applyFill="1" applyBorder="1" applyAlignment="1">
      <alignment horizontal="center"/>
    </xf>
    <xf numFmtId="3" fontId="7" fillId="33" borderId="48" xfId="0" applyNumberFormat="1" applyFont="1" applyFill="1" applyBorder="1" applyAlignment="1">
      <alignment horizontal="center"/>
    </xf>
    <xf numFmtId="1" fontId="7" fillId="33" borderId="85" xfId="0" applyNumberFormat="1" applyFont="1" applyFill="1" applyBorder="1" applyAlignment="1">
      <alignment horizontal="center"/>
    </xf>
    <xf numFmtId="4" fontId="0" fillId="0" borderId="36" xfId="0" applyNumberFormat="1" applyFont="1" applyBorder="1" applyAlignment="1">
      <alignment/>
    </xf>
    <xf numFmtId="10" fontId="0" fillId="0" borderId="74" xfId="58" applyNumberFormat="1" applyFont="1" applyBorder="1" applyAlignment="1">
      <alignment horizontal="center"/>
    </xf>
    <xf numFmtId="10" fontId="0" fillId="0" borderId="76" xfId="58" applyNumberFormat="1" applyFont="1" applyBorder="1" applyAlignment="1">
      <alignment horizontal="center"/>
    </xf>
    <xf numFmtId="10" fontId="0" fillId="0" borderId="36" xfId="58" applyNumberFormat="1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86" xfId="0" applyFont="1" applyBorder="1" applyAlignment="1">
      <alignment wrapText="1"/>
    </xf>
    <xf numFmtId="4" fontId="0" fillId="0" borderId="87" xfId="0" applyNumberFormat="1" applyFont="1" applyBorder="1" applyAlignment="1">
      <alignment/>
    </xf>
    <xf numFmtId="4" fontId="0" fillId="0" borderId="86" xfId="0" applyNumberFormat="1" applyFont="1" applyBorder="1" applyAlignment="1">
      <alignment/>
    </xf>
    <xf numFmtId="10" fontId="0" fillId="0" borderId="85" xfId="58" applyNumberFormat="1" applyFont="1" applyBorder="1" applyAlignment="1">
      <alignment horizontal="center"/>
    </xf>
    <xf numFmtId="0" fontId="0" fillId="0" borderId="56" xfId="0" applyFont="1" applyBorder="1" applyAlignment="1">
      <alignment/>
    </xf>
    <xf numFmtId="0" fontId="1" fillId="0" borderId="47" xfId="0" applyFont="1" applyBorder="1" applyAlignment="1">
      <alignment/>
    </xf>
    <xf numFmtId="10" fontId="1" fillId="0" borderId="33" xfId="58" applyNumberFormat="1" applyFont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8" xfId="0" applyFont="1" applyBorder="1" applyAlignment="1">
      <alignment/>
    </xf>
    <xf numFmtId="0" fontId="0" fillId="0" borderId="88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89" xfId="0" applyFont="1" applyFill="1" applyBorder="1" applyAlignment="1">
      <alignment/>
    </xf>
    <xf numFmtId="10" fontId="0" fillId="0" borderId="90" xfId="58" applyNumberFormat="1" applyFont="1" applyBorder="1" applyAlignment="1">
      <alignment horizontal="center"/>
    </xf>
    <xf numFmtId="0" fontId="0" fillId="0" borderId="68" xfId="0" applyFont="1" applyFill="1" applyBorder="1" applyAlignment="1">
      <alignment/>
    </xf>
    <xf numFmtId="0" fontId="0" fillId="0" borderId="89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44" xfId="0" applyFont="1" applyFill="1" applyBorder="1" applyAlignment="1">
      <alignment/>
    </xf>
    <xf numFmtId="4" fontId="0" fillId="0" borderId="22" xfId="0" applyNumberFormat="1" applyFont="1" applyBorder="1" applyAlignment="1">
      <alignment/>
    </xf>
    <xf numFmtId="10" fontId="0" fillId="0" borderId="17" xfId="58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8" xfId="0" applyFont="1" applyBorder="1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Continuous"/>
    </xf>
    <xf numFmtId="3" fontId="7" fillId="33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8" fillId="33" borderId="21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7" fillId="33" borderId="43" xfId="55" applyFont="1" applyFill="1" applyBorder="1" applyAlignment="1">
      <alignment horizontal="center"/>
      <protection/>
    </xf>
    <xf numFmtId="0" fontId="0" fillId="0" borderId="46" xfId="0" applyFont="1" applyBorder="1" applyAlignment="1">
      <alignment horizontal="center"/>
    </xf>
    <xf numFmtId="0" fontId="0" fillId="0" borderId="14" xfId="55" applyFont="1" applyBorder="1" applyAlignment="1">
      <alignment horizontal="center"/>
      <protection/>
    </xf>
    <xf numFmtId="0" fontId="8" fillId="0" borderId="23" xfId="0" applyFont="1" applyBorder="1" applyAlignment="1">
      <alignment/>
    </xf>
    <xf numFmtId="167" fontId="8" fillId="0" borderId="23" xfId="42" applyNumberFormat="1" applyFont="1" applyBorder="1" applyAlignment="1">
      <alignment horizontal="right" wrapText="1"/>
    </xf>
    <xf numFmtId="192" fontId="8" fillId="0" borderId="23" xfId="42" applyNumberFormat="1" applyFont="1" applyBorder="1" applyAlignment="1">
      <alignment horizontal="right" vertical="center"/>
    </xf>
    <xf numFmtId="192" fontId="8" fillId="0" borderId="35" xfId="42" applyNumberFormat="1" applyFont="1" applyBorder="1" applyAlignment="1">
      <alignment horizontal="right" vertical="center"/>
    </xf>
    <xf numFmtId="192" fontId="8" fillId="0" borderId="67" xfId="42" applyNumberFormat="1" applyFont="1" applyBorder="1" applyAlignment="1">
      <alignment horizontal="right" vertical="center"/>
    </xf>
    <xf numFmtId="10" fontId="8" fillId="0" borderId="16" xfId="58" applyNumberFormat="1" applyFont="1" applyBorder="1" applyAlignment="1">
      <alignment/>
    </xf>
    <xf numFmtId="192" fontId="0" fillId="0" borderId="0" xfId="0" applyNumberFormat="1" applyFont="1" applyAlignment="1">
      <alignment/>
    </xf>
    <xf numFmtId="167" fontId="0" fillId="0" borderId="13" xfId="42" applyNumberFormat="1" applyFont="1" applyBorder="1" applyAlignment="1">
      <alignment horizontal="right" wrapText="1"/>
    </xf>
    <xf numFmtId="192" fontId="0" fillId="0" borderId="13" xfId="42" applyNumberFormat="1" applyFont="1" applyBorder="1" applyAlignment="1">
      <alignment horizontal="right" vertical="center"/>
    </xf>
    <xf numFmtId="192" fontId="0" fillId="0" borderId="18" xfId="42" applyNumberFormat="1" applyFont="1" applyBorder="1" applyAlignment="1">
      <alignment horizontal="right" vertical="center"/>
    </xf>
    <xf numFmtId="192" fontId="0" fillId="0" borderId="0" xfId="42" applyNumberFormat="1" applyFont="1" applyBorder="1" applyAlignment="1">
      <alignment horizontal="right" vertical="center"/>
    </xf>
    <xf numFmtId="167" fontId="0" fillId="0" borderId="23" xfId="42" applyNumberFormat="1" applyFont="1" applyBorder="1" applyAlignment="1">
      <alignment horizontal="right" wrapText="1"/>
    </xf>
    <xf numFmtId="192" fontId="0" fillId="0" borderId="23" xfId="42" applyNumberFormat="1" applyFont="1" applyBorder="1" applyAlignment="1">
      <alignment horizontal="right" vertical="center"/>
    </xf>
    <xf numFmtId="192" fontId="0" fillId="0" borderId="35" xfId="42" applyNumberFormat="1" applyFont="1" applyBorder="1" applyAlignment="1">
      <alignment horizontal="right" vertical="center"/>
    </xf>
    <xf numFmtId="192" fontId="0" fillId="0" borderId="67" xfId="42" applyNumberFormat="1" applyFont="1" applyBorder="1" applyAlignment="1">
      <alignment horizontal="right" vertical="center"/>
    </xf>
    <xf numFmtId="10" fontId="0" fillId="0" borderId="16" xfId="58" applyNumberFormat="1" applyFont="1" applyBorder="1" applyAlignment="1">
      <alignment/>
    </xf>
    <xf numFmtId="167" fontId="0" fillId="0" borderId="23" xfId="42" applyNumberFormat="1" applyFont="1" applyFill="1" applyBorder="1" applyAlignment="1">
      <alignment horizontal="right" wrapText="1"/>
    </xf>
    <xf numFmtId="167" fontId="0" fillId="0" borderId="0" xfId="0" applyNumberFormat="1" applyFont="1" applyAlignment="1">
      <alignment/>
    </xf>
    <xf numFmtId="167" fontId="0" fillId="0" borderId="13" xfId="42" applyNumberFormat="1" applyFont="1" applyFill="1" applyBorder="1" applyAlignment="1">
      <alignment horizontal="right" wrapText="1"/>
    </xf>
    <xf numFmtId="167" fontId="8" fillId="0" borderId="23" xfId="42" applyNumberFormat="1" applyFont="1" applyFill="1" applyBorder="1" applyAlignment="1">
      <alignment horizontal="right" wrapText="1"/>
    </xf>
    <xf numFmtId="167" fontId="0" fillId="0" borderId="24" xfId="42" applyNumberFormat="1" applyFont="1" applyBorder="1" applyAlignment="1">
      <alignment horizontal="right" wrapText="1"/>
    </xf>
    <xf numFmtId="192" fontId="0" fillId="0" borderId="24" xfId="42" applyNumberFormat="1" applyFont="1" applyBorder="1" applyAlignment="1">
      <alignment horizontal="right" vertical="center"/>
    </xf>
    <xf numFmtId="192" fontId="0" fillId="0" borderId="32" xfId="42" applyNumberFormat="1" applyFont="1" applyBorder="1" applyAlignment="1">
      <alignment horizontal="right" vertical="center"/>
    </xf>
    <xf numFmtId="192" fontId="0" fillId="0" borderId="47" xfId="42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55" fillId="0" borderId="0" xfId="54" applyFont="1">
      <alignment/>
      <protection/>
    </xf>
    <xf numFmtId="0" fontId="0" fillId="0" borderId="0" xfId="54">
      <alignment/>
      <protection/>
    </xf>
    <xf numFmtId="0" fontId="10" fillId="0" borderId="0" xfId="54" applyFont="1">
      <alignment/>
      <protection/>
    </xf>
    <xf numFmtId="0" fontId="12" fillId="0" borderId="0" xfId="54" applyFont="1" applyAlignment="1">
      <alignment horizontal="right"/>
      <protection/>
    </xf>
    <xf numFmtId="0" fontId="8" fillId="33" borderId="20" xfId="54" applyFont="1" applyFill="1" applyBorder="1" applyAlignment="1">
      <alignment horizontal="centerContinuous" vertical="center"/>
      <protection/>
    </xf>
    <xf numFmtId="0" fontId="8" fillId="33" borderId="25" xfId="54" applyFont="1" applyFill="1" applyBorder="1" applyAlignment="1">
      <alignment horizontal="centerContinuous" vertical="center"/>
      <protection/>
    </xf>
    <xf numFmtId="0" fontId="8" fillId="33" borderId="25" xfId="54" applyFont="1" applyFill="1" applyBorder="1" applyAlignment="1">
      <alignment horizontal="center" vertical="center"/>
      <protection/>
    </xf>
    <xf numFmtId="0" fontId="8" fillId="33" borderId="46" xfId="54" applyFont="1" applyFill="1" applyBorder="1" applyAlignment="1">
      <alignment horizontal="centerContinuous" vertical="center"/>
      <protection/>
    </xf>
    <xf numFmtId="0" fontId="8" fillId="33" borderId="42" xfId="54" applyFont="1" applyFill="1" applyBorder="1" applyAlignment="1">
      <alignment vertical="center"/>
      <protection/>
    </xf>
    <xf numFmtId="0" fontId="0" fillId="33" borderId="19" xfId="54" applyFont="1" applyFill="1" applyBorder="1" applyAlignment="1">
      <alignment horizontal="center"/>
      <protection/>
    </xf>
    <xf numFmtId="0" fontId="0" fillId="33" borderId="24" xfId="54" applyFont="1" applyFill="1" applyBorder="1" applyAlignment="1">
      <alignment horizontal="center"/>
      <protection/>
    </xf>
    <xf numFmtId="0" fontId="8" fillId="33" borderId="24" xfId="54" applyFont="1" applyFill="1" applyBorder="1" applyAlignment="1">
      <alignment horizontal="centerContinuous"/>
      <protection/>
    </xf>
    <xf numFmtId="0" fontId="8" fillId="33" borderId="32" xfId="54" applyFont="1" applyFill="1" applyBorder="1" applyAlignment="1">
      <alignment horizontal="centerContinuous"/>
      <protection/>
    </xf>
    <xf numFmtId="49" fontId="8" fillId="33" borderId="14" xfId="54" applyNumberFormat="1" applyFont="1" applyFill="1" applyBorder="1" applyAlignment="1">
      <alignment horizontal="center"/>
      <protection/>
    </xf>
    <xf numFmtId="0" fontId="8" fillId="33" borderId="28" xfId="54" applyFont="1" applyFill="1" applyBorder="1" applyAlignment="1">
      <alignment horizontal="centerContinuous"/>
      <protection/>
    </xf>
    <xf numFmtId="0" fontId="8" fillId="33" borderId="29" xfId="54" applyFont="1" applyFill="1" applyBorder="1" applyAlignment="1">
      <alignment horizontal="centerContinuous"/>
      <protection/>
    </xf>
    <xf numFmtId="0" fontId="8" fillId="33" borderId="29" xfId="54" applyFont="1" applyFill="1" applyBorder="1" applyAlignment="1">
      <alignment horizontal="center"/>
      <protection/>
    </xf>
    <xf numFmtId="0" fontId="8" fillId="33" borderId="50" xfId="54" applyFont="1" applyFill="1" applyBorder="1" applyAlignment="1">
      <alignment horizontal="center"/>
      <protection/>
    </xf>
    <xf numFmtId="0" fontId="8" fillId="0" borderId="0" xfId="54" applyFont="1">
      <alignment/>
      <protection/>
    </xf>
    <xf numFmtId="0" fontId="0" fillId="0" borderId="10" xfId="54" applyFont="1" applyBorder="1" applyAlignment="1">
      <alignment horizontal="center"/>
      <protection/>
    </xf>
    <xf numFmtId="0" fontId="0" fillId="0" borderId="13" xfId="54" applyFont="1" applyBorder="1">
      <alignment/>
      <protection/>
    </xf>
    <xf numFmtId="0" fontId="0" fillId="0" borderId="14" xfId="54" applyFont="1" applyBorder="1">
      <alignment/>
      <protection/>
    </xf>
    <xf numFmtId="0" fontId="0" fillId="0" borderId="13" xfId="54" applyFont="1" applyBorder="1" applyAlignment="1">
      <alignment horizontal="center"/>
      <protection/>
    </xf>
    <xf numFmtId="3" fontId="0" fillId="0" borderId="13" xfId="54" applyNumberFormat="1" applyFont="1" applyBorder="1">
      <alignment/>
      <protection/>
    </xf>
    <xf numFmtId="4" fontId="0" fillId="0" borderId="13" xfId="54" applyNumberFormat="1" applyFont="1" applyBorder="1">
      <alignment/>
      <protection/>
    </xf>
    <xf numFmtId="3" fontId="8" fillId="0" borderId="23" xfId="54" applyNumberFormat="1" applyFont="1" applyBorder="1">
      <alignment/>
      <protection/>
    </xf>
    <xf numFmtId="4" fontId="8" fillId="0" borderId="23" xfId="54" applyNumberFormat="1" applyFont="1" applyBorder="1">
      <alignment/>
      <protection/>
    </xf>
    <xf numFmtId="0" fontId="0" fillId="0" borderId="10" xfId="54" applyFont="1" applyBorder="1">
      <alignment/>
      <protection/>
    </xf>
    <xf numFmtId="0" fontId="0" fillId="0" borderId="18" xfId="54" applyBorder="1">
      <alignment/>
      <protection/>
    </xf>
    <xf numFmtId="4" fontId="0" fillId="0" borderId="18" xfId="54" applyNumberFormat="1" applyBorder="1">
      <alignment/>
      <protection/>
    </xf>
    <xf numFmtId="10" fontId="0" fillId="0" borderId="14" xfId="54" applyNumberFormat="1" applyBorder="1">
      <alignment/>
      <protection/>
    </xf>
    <xf numFmtId="0" fontId="0" fillId="0" borderId="11" xfId="54" applyFont="1" applyBorder="1">
      <alignment/>
      <protection/>
    </xf>
    <xf numFmtId="0" fontId="0" fillId="0" borderId="23" xfId="54" applyFont="1" applyBorder="1">
      <alignment/>
      <protection/>
    </xf>
    <xf numFmtId="0" fontId="0" fillId="0" borderId="23" xfId="54" applyFont="1" applyBorder="1" applyAlignment="1">
      <alignment horizontal="center"/>
      <protection/>
    </xf>
    <xf numFmtId="3" fontId="0" fillId="0" borderId="23" xfId="54" applyNumberFormat="1" applyFont="1" applyBorder="1">
      <alignment/>
      <protection/>
    </xf>
    <xf numFmtId="4" fontId="0" fillId="0" borderId="23" xfId="54" applyNumberFormat="1" applyFont="1" applyBorder="1">
      <alignment/>
      <protection/>
    </xf>
    <xf numFmtId="3" fontId="0" fillId="0" borderId="0" xfId="54" applyNumberFormat="1">
      <alignment/>
      <protection/>
    </xf>
    <xf numFmtId="4" fontId="0" fillId="0" borderId="0" xfId="54" applyNumberFormat="1">
      <alignment/>
      <protection/>
    </xf>
    <xf numFmtId="0" fontId="0" fillId="0" borderId="12" xfId="54" applyFont="1" applyBorder="1" applyAlignment="1">
      <alignment horizontal="center"/>
      <protection/>
    </xf>
    <xf numFmtId="0" fontId="0" fillId="0" borderId="26" xfId="54" applyFont="1" applyBorder="1">
      <alignment/>
      <protection/>
    </xf>
    <xf numFmtId="0" fontId="0" fillId="0" borderId="26" xfId="54" applyFont="1" applyBorder="1" applyAlignment="1">
      <alignment horizontal="center"/>
      <protection/>
    </xf>
    <xf numFmtId="3" fontId="0" fillId="0" borderId="26" xfId="54" applyNumberFormat="1" applyFont="1" applyBorder="1">
      <alignment/>
      <protection/>
    </xf>
    <xf numFmtId="4" fontId="8" fillId="0" borderId="18" xfId="54" applyNumberFormat="1" applyFont="1" applyBorder="1">
      <alignment/>
      <protection/>
    </xf>
    <xf numFmtId="10" fontId="8" fillId="0" borderId="14" xfId="58" applyNumberFormat="1" applyFont="1" applyBorder="1" applyAlignment="1">
      <alignment/>
    </xf>
    <xf numFmtId="0" fontId="0" fillId="0" borderId="18" xfId="54" applyFont="1" applyBorder="1" applyAlignment="1">
      <alignment horizontal="center"/>
      <protection/>
    </xf>
    <xf numFmtId="3" fontId="8" fillId="0" borderId="23" xfId="54" applyNumberFormat="1" applyFont="1" applyBorder="1">
      <alignment/>
      <protection/>
    </xf>
    <xf numFmtId="4" fontId="8" fillId="0" borderId="35" xfId="54" applyNumberFormat="1" applyFont="1" applyBorder="1">
      <alignment/>
      <protection/>
    </xf>
    <xf numFmtId="10" fontId="8" fillId="0" borderId="16" xfId="58" applyNumberFormat="1" applyFont="1" applyBorder="1" applyAlignment="1">
      <alignment/>
    </xf>
    <xf numFmtId="0" fontId="0" fillId="0" borderId="11" xfId="54" applyFont="1" applyBorder="1" applyAlignment="1">
      <alignment horizontal="center"/>
      <protection/>
    </xf>
    <xf numFmtId="0" fontId="0" fillId="0" borderId="35" xfId="54" applyFont="1" applyBorder="1" applyAlignment="1">
      <alignment horizontal="center"/>
      <protection/>
    </xf>
    <xf numFmtId="3" fontId="0" fillId="0" borderId="35" xfId="54" applyNumberFormat="1" applyFont="1" applyBorder="1">
      <alignment/>
      <protection/>
    </xf>
    <xf numFmtId="4" fontId="0" fillId="0" borderId="35" xfId="54" applyNumberFormat="1" applyFont="1" applyBorder="1">
      <alignment/>
      <protection/>
    </xf>
    <xf numFmtId="9" fontId="0" fillId="0" borderId="14" xfId="58" applyNumberFormat="1" applyFont="1" applyBorder="1" applyAlignment="1">
      <alignment/>
    </xf>
    <xf numFmtId="3" fontId="8" fillId="0" borderId="35" xfId="54" applyNumberFormat="1" applyFont="1" applyBorder="1">
      <alignment/>
      <protection/>
    </xf>
    <xf numFmtId="4" fontId="8" fillId="0" borderId="35" xfId="54" applyNumberFormat="1" applyFont="1" applyBorder="1">
      <alignment/>
      <protection/>
    </xf>
    <xf numFmtId="3" fontId="0" fillId="0" borderId="18" xfId="54" applyNumberFormat="1" applyFont="1" applyBorder="1">
      <alignment/>
      <protection/>
    </xf>
    <xf numFmtId="4" fontId="0" fillId="0" borderId="0" xfId="54" applyNumberFormat="1" applyFont="1" applyBorder="1">
      <alignment/>
      <protection/>
    </xf>
    <xf numFmtId="4" fontId="0" fillId="0" borderId="18" xfId="54" applyNumberFormat="1" applyFont="1" applyBorder="1">
      <alignment/>
      <protection/>
    </xf>
    <xf numFmtId="188" fontId="0" fillId="0" borderId="0" xfId="54" applyNumberFormat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10" xfId="54" applyBorder="1">
      <alignment/>
      <protection/>
    </xf>
    <xf numFmtId="0" fontId="0" fillId="0" borderId="18" xfId="54" applyFont="1" applyBorder="1">
      <alignment/>
      <protection/>
    </xf>
    <xf numFmtId="0" fontId="0" fillId="0" borderId="35" xfId="54" applyFont="1" applyBorder="1">
      <alignment/>
      <protection/>
    </xf>
    <xf numFmtId="4" fontId="0" fillId="0" borderId="26" xfId="54" applyNumberFormat="1" applyFont="1" applyBorder="1">
      <alignment/>
      <protection/>
    </xf>
    <xf numFmtId="0" fontId="8" fillId="33" borderId="0" xfId="54" applyFont="1" applyFill="1">
      <alignment/>
      <protection/>
    </xf>
    <xf numFmtId="3" fontId="0" fillId="0" borderId="13" xfId="54" applyNumberFormat="1" applyFont="1" applyBorder="1" applyAlignment="1">
      <alignment horizontal="center"/>
      <protection/>
    </xf>
    <xf numFmtId="0" fontId="0" fillId="0" borderId="14" xfId="58" applyNumberFormat="1" applyFont="1" applyBorder="1" applyAlignment="1">
      <alignment horizontal="center"/>
    </xf>
    <xf numFmtId="4" fontId="0" fillId="0" borderId="41" xfId="54" applyNumberFormat="1" applyFont="1" applyBorder="1">
      <alignment/>
      <protection/>
    </xf>
    <xf numFmtId="4" fontId="7" fillId="0" borderId="35" xfId="0" applyNumberFormat="1" applyFont="1" applyFill="1" applyBorder="1" applyAlignment="1">
      <alignment horizontal="right" vertical="center" wrapText="1"/>
    </xf>
    <xf numFmtId="3" fontId="0" fillId="0" borderId="13" xfId="54" applyNumberFormat="1" applyFont="1" applyBorder="1">
      <alignment/>
      <protection/>
    </xf>
    <xf numFmtId="4" fontId="0" fillId="0" borderId="13" xfId="54" applyNumberFormat="1" applyFont="1" applyBorder="1">
      <alignment/>
      <protection/>
    </xf>
    <xf numFmtId="0" fontId="0" fillId="0" borderId="20" xfId="54" applyFont="1" applyBorder="1" applyAlignment="1">
      <alignment horizontal="center"/>
      <protection/>
    </xf>
    <xf numFmtId="0" fontId="0" fillId="0" borderId="25" xfId="54" applyFont="1" applyBorder="1">
      <alignment/>
      <protection/>
    </xf>
    <xf numFmtId="0" fontId="0" fillId="0" borderId="25" xfId="54" applyFont="1" applyBorder="1" applyAlignment="1">
      <alignment horizontal="center"/>
      <protection/>
    </xf>
    <xf numFmtId="3" fontId="0" fillId="0" borderId="25" xfId="54" applyNumberFormat="1" applyFont="1" applyBorder="1">
      <alignment/>
      <protection/>
    </xf>
    <xf numFmtId="4" fontId="0" fillId="0" borderId="25" xfId="54" applyNumberFormat="1" applyFont="1" applyBorder="1">
      <alignment/>
      <protection/>
    </xf>
    <xf numFmtId="10" fontId="0" fillId="0" borderId="42" xfId="58" applyNumberFormat="1" applyFont="1" applyBorder="1" applyAlignment="1">
      <alignment/>
    </xf>
    <xf numFmtId="0" fontId="0" fillId="0" borderId="19" xfId="54" applyFont="1" applyBorder="1" applyAlignment="1">
      <alignment horizontal="center"/>
      <protection/>
    </xf>
    <xf numFmtId="0" fontId="11" fillId="0" borderId="24" xfId="54" applyFont="1" applyBorder="1">
      <alignment/>
      <protection/>
    </xf>
    <xf numFmtId="0" fontId="11" fillId="0" borderId="24" xfId="54" applyFont="1" applyBorder="1" applyAlignment="1">
      <alignment horizontal="center"/>
      <protection/>
    </xf>
    <xf numFmtId="3" fontId="11" fillId="0" borderId="24" xfId="54" applyNumberFormat="1" applyFont="1" applyBorder="1" applyAlignment="1">
      <alignment horizontal="center"/>
      <protection/>
    </xf>
    <xf numFmtId="3" fontId="11" fillId="0" borderId="24" xfId="54" applyNumberFormat="1" applyFont="1" applyBorder="1">
      <alignment/>
      <protection/>
    </xf>
    <xf numFmtId="0" fontId="0" fillId="0" borderId="0" xfId="54" applyFont="1" applyBorder="1">
      <alignment/>
      <protection/>
    </xf>
    <xf numFmtId="0" fontId="8" fillId="0" borderId="0" xfId="54" applyFont="1" applyBorder="1" applyAlignment="1">
      <alignment horizontal="center"/>
      <protection/>
    </xf>
    <xf numFmtId="3" fontId="8" fillId="0" borderId="0" xfId="54" applyNumberFormat="1" applyFont="1" applyBorder="1">
      <alignment/>
      <protection/>
    </xf>
    <xf numFmtId="0" fontId="7" fillId="33" borderId="19" xfId="52" applyFont="1" applyFill="1" applyBorder="1" applyAlignment="1">
      <alignment horizontal="center"/>
      <protection/>
    </xf>
    <xf numFmtId="0" fontId="7" fillId="33" borderId="24" xfId="52" applyFont="1" applyFill="1" applyBorder="1" applyAlignment="1">
      <alignment horizontal="center"/>
      <protection/>
    </xf>
    <xf numFmtId="0" fontId="0" fillId="0" borderId="46" xfId="52" applyBorder="1">
      <alignment/>
      <protection/>
    </xf>
    <xf numFmtId="0" fontId="0" fillId="0" borderId="36" xfId="52" applyBorder="1">
      <alignment/>
      <protection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0" fillId="0" borderId="18" xfId="52" applyNumberFormat="1" applyFont="1" applyBorder="1" applyAlignment="1">
      <alignment horizontal="right" vertical="center"/>
      <protection/>
    </xf>
    <xf numFmtId="4" fontId="0" fillId="0" borderId="18" xfId="52" applyNumberFormat="1" applyFont="1" applyBorder="1" applyAlignment="1">
      <alignment horizontal="right" vertical="center"/>
      <protection/>
    </xf>
    <xf numFmtId="0" fontId="0" fillId="0" borderId="32" xfId="52" applyFont="1" applyBorder="1" applyAlignment="1">
      <alignment horizontal="center"/>
      <protection/>
    </xf>
    <xf numFmtId="4" fontId="0" fillId="0" borderId="32" xfId="52" applyNumberFormat="1" applyBorder="1">
      <alignment/>
      <protection/>
    </xf>
    <xf numFmtId="10" fontId="0" fillId="0" borderId="33" xfId="58" applyNumberFormat="1" applyFont="1" applyBorder="1" applyAlignment="1">
      <alignment/>
    </xf>
    <xf numFmtId="0" fontId="14" fillId="0" borderId="18" xfId="52" applyFont="1" applyBorder="1">
      <alignment/>
      <protection/>
    </xf>
    <xf numFmtId="3" fontId="14" fillId="0" borderId="18" xfId="52" applyNumberFormat="1" applyFont="1" applyBorder="1" applyAlignment="1">
      <alignment horizontal="right" vertical="center"/>
      <protection/>
    </xf>
    <xf numFmtId="10" fontId="14" fillId="0" borderId="36" xfId="58" applyNumberFormat="1" applyFont="1" applyBorder="1" applyAlignment="1">
      <alignment/>
    </xf>
    <xf numFmtId="0" fontId="11" fillId="0" borderId="32" xfId="52" applyFont="1" applyBorder="1" applyAlignment="1">
      <alignment horizontal="center"/>
      <protection/>
    </xf>
    <xf numFmtId="3" fontId="11" fillId="0" borderId="32" xfId="52" applyNumberFormat="1" applyFont="1" applyBorder="1" applyAlignment="1">
      <alignment horizontal="right" vertical="center"/>
      <protection/>
    </xf>
    <xf numFmtId="4" fontId="11" fillId="0" borderId="32" xfId="52" applyNumberFormat="1" applyFont="1" applyBorder="1" applyAlignment="1">
      <alignment horizontal="right" vertical="center"/>
      <protection/>
    </xf>
    <xf numFmtId="10" fontId="11" fillId="0" borderId="33" xfId="58" applyNumberFormat="1" applyFont="1" applyBorder="1" applyAlignment="1">
      <alignment/>
    </xf>
    <xf numFmtId="0" fontId="21" fillId="35" borderId="91" xfId="0" applyFont="1" applyFill="1" applyBorder="1" applyAlignment="1">
      <alignment horizontal="center" wrapText="1"/>
    </xf>
    <xf numFmtId="0" fontId="21" fillId="35" borderId="78" xfId="0" applyFont="1" applyFill="1" applyBorder="1" applyAlignment="1">
      <alignment horizontal="center" wrapText="1"/>
    </xf>
    <xf numFmtId="0" fontId="21" fillId="35" borderId="78" xfId="0" applyFont="1" applyFill="1" applyBorder="1" applyAlignment="1">
      <alignment horizontal="center" vertical="center" wrapText="1"/>
    </xf>
    <xf numFmtId="0" fontId="21" fillId="35" borderId="92" xfId="0" applyFont="1" applyFill="1" applyBorder="1" applyAlignment="1">
      <alignment horizontal="center" vertical="center" wrapText="1"/>
    </xf>
    <xf numFmtId="0" fontId="21" fillId="35" borderId="79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right" vertical="center" wrapText="1"/>
    </xf>
    <xf numFmtId="167" fontId="4" fillId="0" borderId="48" xfId="42" applyNumberFormat="1" applyFont="1" applyFill="1" applyBorder="1" applyAlignment="1">
      <alignment horizontal="right" vertical="center" wrapText="1"/>
    </xf>
    <xf numFmtId="43" fontId="4" fillId="0" borderId="48" xfId="42" applyFont="1" applyFill="1" applyBorder="1" applyAlignment="1">
      <alignment horizontal="right" vertical="center" wrapText="1"/>
    </xf>
    <xf numFmtId="43" fontId="1" fillId="34" borderId="78" xfId="42" applyFont="1" applyFill="1" applyBorder="1" applyAlignment="1">
      <alignment horizontal="right" vertical="center" wrapText="1"/>
    </xf>
    <xf numFmtId="0" fontId="0" fillId="0" borderId="47" xfId="0" applyFont="1" applyBorder="1" applyAlignment="1">
      <alignment/>
    </xf>
    <xf numFmtId="0" fontId="10" fillId="0" borderId="10" xfId="0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4" fontId="4" fillId="0" borderId="51" xfId="0" applyNumberFormat="1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32" xfId="0" applyFont="1" applyFill="1" applyBorder="1" applyAlignment="1">
      <alignment wrapText="1"/>
    </xf>
    <xf numFmtId="3" fontId="4" fillId="0" borderId="24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10" fontId="4" fillId="0" borderId="43" xfId="58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3" fontId="16" fillId="0" borderId="0" xfId="52" applyNumberFormat="1" applyFont="1" applyAlignment="1">
      <alignment horizontal="right"/>
      <protection/>
    </xf>
    <xf numFmtId="3" fontId="40" fillId="0" borderId="0" xfId="52" applyNumberFormat="1" applyFont="1">
      <alignment/>
      <protection/>
    </xf>
    <xf numFmtId="10" fontId="0" fillId="0" borderId="17" xfId="58" applyNumberFormat="1" applyFont="1" applyFill="1" applyBorder="1" applyAlignment="1">
      <alignment vertical="center"/>
    </xf>
    <xf numFmtId="10" fontId="0" fillId="0" borderId="17" xfId="58" applyNumberFormat="1" applyFont="1" applyBorder="1" applyAlignment="1">
      <alignment vertical="center"/>
    </xf>
    <xf numFmtId="10" fontId="0" fillId="0" borderId="16" xfId="58" applyNumberFormat="1" applyFont="1" applyFill="1" applyBorder="1" applyAlignment="1">
      <alignment vertical="center"/>
    </xf>
    <xf numFmtId="10" fontId="0" fillId="0" borderId="14" xfId="58" applyNumberFormat="1" applyFont="1" applyFill="1" applyBorder="1" applyAlignment="1">
      <alignment vertical="center"/>
    </xf>
    <xf numFmtId="0" fontId="0" fillId="0" borderId="13" xfId="0" applyFont="1" applyBorder="1" applyAlignment="1">
      <alignment vertical="top" wrapText="1"/>
    </xf>
    <xf numFmtId="3" fontId="8" fillId="0" borderId="35" xfId="52" applyNumberFormat="1" applyFont="1" applyBorder="1" applyAlignment="1">
      <alignment horizontal="right"/>
      <protection/>
    </xf>
    <xf numFmtId="4" fontId="8" fillId="0" borderId="35" xfId="52" applyNumberFormat="1" applyFont="1" applyBorder="1" applyAlignment="1">
      <alignment horizontal="right"/>
      <protection/>
    </xf>
    <xf numFmtId="10" fontId="8" fillId="0" borderId="74" xfId="58" applyNumberFormat="1" applyFont="1" applyBorder="1" applyAlignment="1">
      <alignment/>
    </xf>
    <xf numFmtId="3" fontId="0" fillId="0" borderId="32" xfId="52" applyNumberFormat="1" applyFont="1" applyBorder="1" applyAlignment="1">
      <alignment horizontal="right" vertical="center"/>
      <protection/>
    </xf>
    <xf numFmtId="0" fontId="8" fillId="33" borderId="28" xfId="54" applyFont="1" applyFill="1" applyBorder="1" applyAlignment="1">
      <alignment horizontal="center"/>
      <protection/>
    </xf>
    <xf numFmtId="3" fontId="29" fillId="0" borderId="0" xfId="54" applyNumberFormat="1" applyFont="1">
      <alignment/>
      <protection/>
    </xf>
    <xf numFmtId="4" fontId="29" fillId="0" borderId="0" xfId="54" applyNumberFormat="1" applyFont="1">
      <alignment/>
      <protection/>
    </xf>
    <xf numFmtId="0" fontId="0" fillId="0" borderId="0" xfId="54" applyFont="1">
      <alignment/>
      <protection/>
    </xf>
    <xf numFmtId="10" fontId="0" fillId="0" borderId="15" xfId="58" applyNumberFormat="1" applyFont="1" applyFill="1" applyBorder="1" applyAlignment="1">
      <alignment vertical="center"/>
    </xf>
    <xf numFmtId="43" fontId="4" fillId="0" borderId="22" xfId="42" applyFont="1" applyFill="1" applyBorder="1" applyAlignment="1">
      <alignment horizontal="right" vertical="center" wrapText="1"/>
    </xf>
    <xf numFmtId="43" fontId="2" fillId="0" borderId="22" xfId="42" applyFont="1" applyFill="1" applyBorder="1" applyAlignment="1">
      <alignment horizontal="right" vertical="center" wrapText="1"/>
    </xf>
    <xf numFmtId="43" fontId="4" fillId="0" borderId="49" xfId="42" applyFont="1" applyFill="1" applyBorder="1" applyAlignment="1">
      <alignment horizontal="right" vertical="center" wrapText="1"/>
    </xf>
    <xf numFmtId="43" fontId="4" fillId="0" borderId="23" xfId="42" applyFont="1" applyFill="1" applyBorder="1" applyAlignment="1">
      <alignment horizontal="right" vertical="center" wrapText="1"/>
    </xf>
    <xf numFmtId="43" fontId="2" fillId="0" borderId="23" xfId="42" applyFont="1" applyFill="1" applyBorder="1" applyAlignment="1">
      <alignment horizontal="right" vertical="center" wrapText="1"/>
    </xf>
    <xf numFmtId="43" fontId="4" fillId="0" borderId="13" xfId="42" applyFont="1" applyFill="1" applyBorder="1" applyAlignment="1">
      <alignment horizontal="right" vertical="center" wrapText="1"/>
    </xf>
    <xf numFmtId="0" fontId="4" fillId="0" borderId="41" xfId="0" applyFont="1" applyBorder="1" applyAlignment="1">
      <alignment/>
    </xf>
    <xf numFmtId="0" fontId="0" fillId="0" borderId="24" xfId="0" applyFont="1" applyBorder="1" applyAlignment="1">
      <alignment horizontal="left"/>
    </xf>
    <xf numFmtId="10" fontId="0" fillId="0" borderId="32" xfId="58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3" fontId="8" fillId="33" borderId="29" xfId="54" applyNumberFormat="1" applyFont="1" applyFill="1" applyBorder="1" applyAlignment="1">
      <alignment horizontal="center"/>
      <protection/>
    </xf>
    <xf numFmtId="0" fontId="8" fillId="33" borderId="50" xfId="58" applyNumberFormat="1" applyFont="1" applyFill="1" applyBorder="1" applyAlignment="1">
      <alignment horizontal="center"/>
    </xf>
    <xf numFmtId="0" fontId="0" fillId="0" borderId="24" xfId="54" applyFont="1" applyBorder="1">
      <alignment/>
      <protection/>
    </xf>
    <xf numFmtId="0" fontId="0" fillId="0" borderId="24" xfId="54" applyFont="1" applyBorder="1" applyAlignment="1">
      <alignment horizontal="center"/>
      <protection/>
    </xf>
    <xf numFmtId="3" fontId="0" fillId="0" borderId="24" xfId="54" applyNumberFormat="1" applyFont="1" applyBorder="1">
      <alignment/>
      <protection/>
    </xf>
    <xf numFmtId="4" fontId="0" fillId="0" borderId="24" xfId="54" applyNumberFormat="1" applyFont="1" applyBorder="1">
      <alignment/>
      <protection/>
    </xf>
    <xf numFmtId="10" fontId="4" fillId="0" borderId="0" xfId="58" applyNumberFormat="1" applyFont="1" applyFill="1" applyBorder="1" applyAlignment="1">
      <alignment horizontal="right" wrapText="1"/>
    </xf>
    <xf numFmtId="3" fontId="14" fillId="0" borderId="24" xfId="52" applyNumberFormat="1" applyFont="1" applyBorder="1" applyAlignment="1">
      <alignment horizontal="right"/>
      <protection/>
    </xf>
    <xf numFmtId="4" fontId="14" fillId="0" borderId="32" xfId="52" applyNumberFormat="1" applyFont="1" applyBorder="1">
      <alignment/>
      <protection/>
    </xf>
    <xf numFmtId="0" fontId="0" fillId="33" borderId="28" xfId="52" applyFont="1" applyFill="1" applyBorder="1" applyAlignment="1">
      <alignment horizontal="centerContinuous"/>
      <protection/>
    </xf>
    <xf numFmtId="0" fontId="0" fillId="33" borderId="30" xfId="52" applyFont="1" applyFill="1" applyBorder="1" applyAlignment="1">
      <alignment horizontal="centerContinuous"/>
      <protection/>
    </xf>
    <xf numFmtId="0" fontId="0" fillId="33" borderId="29" xfId="52" applyFont="1" applyFill="1" applyBorder="1" applyAlignment="1">
      <alignment horizontal="centerContinuous"/>
      <protection/>
    </xf>
    <xf numFmtId="0" fontId="0" fillId="33" borderId="30" xfId="52" applyFont="1" applyFill="1" applyBorder="1" applyAlignment="1">
      <alignment horizontal="center"/>
      <protection/>
    </xf>
    <xf numFmtId="0" fontId="0" fillId="33" borderId="31" xfId="52" applyFont="1" applyFill="1" applyBorder="1" applyAlignment="1">
      <alignment horizontal="center"/>
      <protection/>
    </xf>
    <xf numFmtId="0" fontId="0" fillId="0" borderId="60" xfId="0" applyBorder="1" applyAlignment="1">
      <alignment vertical="center"/>
    </xf>
    <xf numFmtId="0" fontId="0" fillId="0" borderId="0" xfId="0" applyBorder="1" applyAlignment="1">
      <alignment/>
    </xf>
    <xf numFmtId="0" fontId="7" fillId="33" borderId="39" xfId="0" applyFont="1" applyFill="1" applyBorder="1" applyAlignment="1">
      <alignment horizontal="center"/>
    </xf>
    <xf numFmtId="0" fontId="4" fillId="0" borderId="63" xfId="0" applyFont="1" applyBorder="1" applyAlignment="1">
      <alignment horizontal="center"/>
    </xf>
    <xf numFmtId="4" fontId="1" fillId="33" borderId="46" xfId="0" applyNumberFormat="1" applyFont="1" applyFill="1" applyBorder="1" applyAlignment="1">
      <alignment horizontal="center"/>
    </xf>
    <xf numFmtId="4" fontId="1" fillId="33" borderId="35" xfId="0" applyNumberFormat="1" applyFont="1" applyFill="1" applyBorder="1" applyAlignment="1">
      <alignment horizontal="center"/>
    </xf>
    <xf numFmtId="4" fontId="1" fillId="33" borderId="30" xfId="0" applyNumberFormat="1" applyFont="1" applyFill="1" applyBorder="1" applyAlignment="1">
      <alignment horizontal="center"/>
    </xf>
    <xf numFmtId="4" fontId="1" fillId="33" borderId="29" xfId="0" applyNumberFormat="1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4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" fillId="33" borderId="77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/>
    </xf>
    <xf numFmtId="0" fontId="21" fillId="33" borderId="71" xfId="0" applyFont="1" applyFill="1" applyBorder="1" applyAlignment="1">
      <alignment horizontal="center"/>
    </xf>
    <xf numFmtId="0" fontId="4" fillId="0" borderId="29" xfId="0" applyFont="1" applyBorder="1" applyAlignment="1">
      <alignment horizontal="left" wrapText="1"/>
    </xf>
    <xf numFmtId="0" fontId="4" fillId="0" borderId="94" xfId="0" applyFont="1" applyBorder="1" applyAlignment="1">
      <alignment horizontal="left" wrapText="1"/>
    </xf>
    <xf numFmtId="0" fontId="11" fillId="0" borderId="24" xfId="0" applyFont="1" applyBorder="1" applyAlignment="1">
      <alignment horizontal="left"/>
    </xf>
    <xf numFmtId="0" fontId="11" fillId="0" borderId="71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41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" fontId="4" fillId="33" borderId="46" xfId="0" applyNumberFormat="1" applyFont="1" applyFill="1" applyBorder="1" applyAlignment="1">
      <alignment horizontal="center"/>
    </xf>
    <xf numFmtId="4" fontId="4" fillId="33" borderId="35" xfId="0" applyNumberFormat="1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4" fontId="1" fillId="33" borderId="30" xfId="0" applyNumberFormat="1" applyFont="1" applyFill="1" applyBorder="1" applyAlignment="1">
      <alignment horizontal="center" vertical="center"/>
    </xf>
    <xf numFmtId="4" fontId="1" fillId="33" borderId="29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" fillId="33" borderId="46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" fillId="33" borderId="77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33" borderId="42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center" wrapText="1"/>
    </xf>
    <xf numFmtId="9" fontId="8" fillId="33" borderId="95" xfId="0" applyNumberFormat="1" applyFont="1" applyFill="1" applyBorder="1" applyAlignment="1">
      <alignment horizontal="center" vertical="center" wrapText="1"/>
    </xf>
    <xf numFmtId="9" fontId="8" fillId="33" borderId="36" xfId="0" applyNumberFormat="1" applyFont="1" applyFill="1" applyBorder="1" applyAlignment="1">
      <alignment horizontal="center" vertical="center" wrapText="1"/>
    </xf>
    <xf numFmtId="9" fontId="8" fillId="33" borderId="74" xfId="0" applyNumberFormat="1" applyFont="1" applyFill="1" applyBorder="1" applyAlignment="1">
      <alignment horizontal="center" vertical="center" wrapText="1"/>
    </xf>
    <xf numFmtId="4" fontId="8" fillId="33" borderId="41" xfId="0" applyNumberFormat="1" applyFont="1" applyFill="1" applyBorder="1" applyAlignment="1">
      <alignment horizontal="center" vertical="center" wrapText="1"/>
    </xf>
    <xf numFmtId="4" fontId="8" fillId="33" borderId="35" xfId="0" applyNumberFormat="1" applyFont="1" applyFill="1" applyBorder="1" applyAlignment="1">
      <alignment horizontal="center" vertical="center" wrapText="1"/>
    </xf>
    <xf numFmtId="4" fontId="8" fillId="33" borderId="21" xfId="0" applyNumberFormat="1" applyFont="1" applyFill="1" applyBorder="1" applyAlignment="1">
      <alignment horizontal="center" vertical="center" wrapText="1"/>
    </xf>
    <xf numFmtId="0" fontId="8" fillId="33" borderId="77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4" fontId="8" fillId="33" borderId="46" xfId="0" applyNumberFormat="1" applyFont="1" applyFill="1" applyBorder="1" applyAlignment="1">
      <alignment horizontal="center" vertical="center" wrapText="1"/>
    </xf>
    <xf numFmtId="4" fontId="8" fillId="33" borderId="18" xfId="0" applyNumberFormat="1" applyFont="1" applyFill="1" applyBorder="1" applyAlignment="1">
      <alignment horizontal="center" vertical="center" wrapText="1"/>
    </xf>
    <xf numFmtId="4" fontId="8" fillId="33" borderId="29" xfId="0" applyNumberFormat="1" applyFont="1" applyFill="1" applyBorder="1" applyAlignment="1">
      <alignment horizontal="center" vertical="center" wrapText="1"/>
    </xf>
    <xf numFmtId="4" fontId="8" fillId="33" borderId="96" xfId="0" applyNumberFormat="1" applyFont="1" applyFill="1" applyBorder="1" applyAlignment="1">
      <alignment horizontal="center" vertical="center" wrapText="1"/>
    </xf>
    <xf numFmtId="4" fontId="8" fillId="33" borderId="9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10" fontId="0" fillId="0" borderId="14" xfId="58" applyNumberFormat="1" applyFont="1" applyBorder="1" applyAlignment="1">
      <alignment horizontal="center"/>
    </xf>
    <xf numFmtId="10" fontId="0" fillId="0" borderId="16" xfId="58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0" fontId="0" fillId="0" borderId="27" xfId="58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8" fillId="33" borderId="21" xfId="0" applyNumberFormat="1" applyFont="1" applyFill="1" applyBorder="1" applyAlignment="1">
      <alignment horizontal="center"/>
    </xf>
    <xf numFmtId="10" fontId="0" fillId="0" borderId="42" xfId="58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4" fontId="8" fillId="33" borderId="29" xfId="0" applyNumberFormat="1" applyFont="1" applyFill="1" applyBorder="1" applyAlignment="1">
      <alignment horizontal="center"/>
    </xf>
    <xf numFmtId="4" fontId="8" fillId="33" borderId="96" xfId="0" applyNumberFormat="1" applyFont="1" applyFill="1" applyBorder="1" applyAlignment="1">
      <alignment horizontal="center"/>
    </xf>
    <xf numFmtId="4" fontId="8" fillId="33" borderId="94" xfId="0" applyNumberFormat="1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33" borderId="55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42" xfId="55" applyFont="1" applyFill="1" applyBorder="1" applyAlignment="1">
      <alignment horizontal="center" vertical="center" wrapText="1"/>
      <protection/>
    </xf>
    <xf numFmtId="0" fontId="8" fillId="33" borderId="14" xfId="55" applyFont="1" applyFill="1" applyBorder="1" applyAlignment="1">
      <alignment horizontal="center" vertical="center" wrapText="1"/>
      <protection/>
    </xf>
    <xf numFmtId="0" fontId="8" fillId="33" borderId="16" xfId="55" applyFont="1" applyFill="1" applyBorder="1" applyAlignment="1">
      <alignment horizontal="center" vertical="center" wrapText="1"/>
      <protection/>
    </xf>
    <xf numFmtId="0" fontId="8" fillId="33" borderId="41" xfId="0" applyFont="1" applyFill="1" applyBorder="1" applyAlignment="1">
      <alignment horizontal="center" vertical="center" wrapText="1"/>
    </xf>
    <xf numFmtId="0" fontId="9" fillId="0" borderId="0" xfId="54" applyFont="1" applyAlignment="1">
      <alignment horizontal="left"/>
      <protection/>
    </xf>
    <xf numFmtId="0" fontId="11" fillId="0" borderId="0" xfId="54" applyFont="1" applyAlignment="1">
      <alignment horizontal="left"/>
      <protection/>
    </xf>
    <xf numFmtId="0" fontId="25" fillId="0" borderId="0" xfId="52" applyFont="1" applyAlignment="1">
      <alignment horizontal="left" vertical="center" wrapText="1"/>
      <protection/>
    </xf>
    <xf numFmtId="0" fontId="8" fillId="0" borderId="41" xfId="52" applyFont="1" applyBorder="1" applyAlignment="1">
      <alignment horizontal="center"/>
      <protection/>
    </xf>
    <xf numFmtId="0" fontId="8" fillId="0" borderId="35" xfId="52" applyFont="1" applyBorder="1" applyAlignment="1">
      <alignment horizontal="center"/>
      <protection/>
    </xf>
    <xf numFmtId="0" fontId="8" fillId="33" borderId="29" xfId="52" applyFont="1" applyFill="1" applyBorder="1" applyAlignment="1">
      <alignment horizontal="center" vertical="center" wrapText="1"/>
      <protection/>
    </xf>
    <xf numFmtId="0" fontId="8" fillId="33" borderId="96" xfId="52" applyFont="1" applyFill="1" applyBorder="1" applyAlignment="1">
      <alignment horizontal="center" vertical="center" wrapText="1"/>
      <protection/>
    </xf>
    <xf numFmtId="0" fontId="8" fillId="33" borderId="46" xfId="52" applyFont="1" applyFill="1" applyBorder="1" applyAlignment="1">
      <alignment horizontal="center" vertical="center" wrapText="1"/>
      <protection/>
    </xf>
    <xf numFmtId="0" fontId="8" fillId="33" borderId="18" xfId="52" applyFont="1" applyFill="1" applyBorder="1" applyAlignment="1">
      <alignment horizontal="center" vertical="center" wrapText="1"/>
      <protection/>
    </xf>
    <xf numFmtId="0" fontId="8" fillId="33" borderId="35" xfId="52" applyFont="1" applyFill="1" applyBorder="1" applyAlignment="1">
      <alignment horizontal="center" vertical="center" wrapText="1"/>
      <protection/>
    </xf>
    <xf numFmtId="0" fontId="24" fillId="0" borderId="0" xfId="52" applyFont="1" applyAlignment="1">
      <alignment horizontal="left"/>
      <protection/>
    </xf>
    <xf numFmtId="0" fontId="8" fillId="33" borderId="41" xfId="52" applyFont="1" applyFill="1" applyBorder="1" applyAlignment="1">
      <alignment horizontal="center" vertical="center" wrapText="1"/>
      <protection/>
    </xf>
    <xf numFmtId="0" fontId="8" fillId="33" borderId="35" xfId="52" applyFont="1" applyFill="1" applyBorder="1" applyAlignment="1">
      <alignment horizontal="center" vertical="center" wrapText="1"/>
      <protection/>
    </xf>
    <xf numFmtId="0" fontId="8" fillId="33" borderId="42" xfId="52" applyFont="1" applyFill="1" applyBorder="1" applyAlignment="1">
      <alignment horizontal="center" vertical="center" wrapText="1"/>
      <protection/>
    </xf>
    <xf numFmtId="0" fontId="8" fillId="33" borderId="14" xfId="52" applyFont="1" applyFill="1" applyBorder="1" applyAlignment="1">
      <alignment horizontal="center" vertical="center" wrapText="1"/>
      <protection/>
    </xf>
    <xf numFmtId="0" fontId="8" fillId="33" borderId="16" xfId="52" applyFont="1" applyFill="1" applyBorder="1" applyAlignment="1">
      <alignment horizontal="center" vertical="center" wrapText="1"/>
      <protection/>
    </xf>
    <xf numFmtId="0" fontId="8" fillId="33" borderId="77" xfId="52" applyFont="1" applyFill="1" applyBorder="1" applyAlignment="1">
      <alignment horizontal="center" vertical="center"/>
      <protection/>
    </xf>
    <xf numFmtId="0" fontId="8" fillId="33" borderId="54" xfId="52" applyFont="1" applyFill="1" applyBorder="1" applyAlignment="1">
      <alignment horizontal="center" vertical="center"/>
      <protection/>
    </xf>
    <xf numFmtId="0" fontId="8" fillId="33" borderId="34" xfId="52" applyFont="1" applyFill="1" applyBorder="1" applyAlignment="1">
      <alignment horizontal="center" vertical="center"/>
      <protection/>
    </xf>
    <xf numFmtId="0" fontId="8" fillId="33" borderId="46" xfId="52" applyFont="1" applyFill="1" applyBorder="1" applyAlignment="1">
      <alignment horizontal="center" vertical="center"/>
      <protection/>
    </xf>
    <xf numFmtId="0" fontId="8" fillId="33" borderId="18" xfId="52" applyFont="1" applyFill="1" applyBorder="1" applyAlignment="1">
      <alignment horizontal="center" vertical="center"/>
      <protection/>
    </xf>
    <xf numFmtId="0" fontId="8" fillId="33" borderId="35" xfId="52" applyFont="1" applyFill="1" applyBorder="1" applyAlignment="1">
      <alignment horizontal="center" vertical="center"/>
      <protection/>
    </xf>
    <xf numFmtId="0" fontId="8" fillId="33" borderId="4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24" fillId="0" borderId="0" xfId="52" applyFont="1" applyAlignment="1">
      <alignment horizontal="left" vertical="center" wrapText="1"/>
      <protection/>
    </xf>
    <xf numFmtId="0" fontId="8" fillId="33" borderId="29" xfId="52" applyFont="1" applyFill="1" applyBorder="1" applyAlignment="1">
      <alignment horizontal="center" vertical="center" wrapText="1"/>
      <protection/>
    </xf>
    <xf numFmtId="0" fontId="8" fillId="33" borderId="96" xfId="52" applyFont="1" applyFill="1" applyBorder="1" applyAlignment="1">
      <alignment horizontal="center" vertical="center" wrapText="1"/>
      <protection/>
    </xf>
    <xf numFmtId="0" fontId="8" fillId="33" borderId="77" xfId="52" applyFont="1" applyFill="1" applyBorder="1" applyAlignment="1">
      <alignment horizontal="center" vertical="center" wrapText="1"/>
      <protection/>
    </xf>
    <xf numFmtId="0" fontId="8" fillId="33" borderId="34" xfId="52" applyFont="1" applyFill="1" applyBorder="1" applyAlignment="1">
      <alignment horizontal="center" vertical="center" wrapText="1"/>
      <protection/>
    </xf>
    <xf numFmtId="0" fontId="9" fillId="0" borderId="0" xfId="52" applyFont="1" applyAlignment="1">
      <alignment horizontal="justify" vertical="center" wrapText="1"/>
      <protection/>
    </xf>
    <xf numFmtId="0" fontId="8" fillId="33" borderId="95" xfId="52" applyFont="1" applyFill="1" applyBorder="1" applyAlignment="1">
      <alignment horizontal="center" vertical="center" wrapText="1"/>
      <protection/>
    </xf>
    <xf numFmtId="0" fontId="8" fillId="33" borderId="74" xfId="52" applyFont="1" applyFill="1" applyBorder="1" applyAlignment="1">
      <alignment horizontal="center" vertical="center" wrapText="1"/>
      <protection/>
    </xf>
    <xf numFmtId="0" fontId="8" fillId="33" borderId="25" xfId="52" applyFont="1" applyFill="1" applyBorder="1" applyAlignment="1">
      <alignment horizontal="center" vertical="center"/>
      <protection/>
    </xf>
    <xf numFmtId="0" fontId="8" fillId="33" borderId="23" xfId="52" applyFont="1" applyFill="1" applyBorder="1" applyAlignment="1">
      <alignment horizontal="center" vertical="center"/>
      <protection/>
    </xf>
    <xf numFmtId="0" fontId="8" fillId="33" borderId="46" xfId="52" applyFont="1" applyFill="1" applyBorder="1" applyAlignment="1">
      <alignment horizontal="center" vertical="center" wrapText="1"/>
      <protection/>
    </xf>
    <xf numFmtId="0" fontId="1" fillId="35" borderId="3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vertical="center" wrapText="1"/>
    </xf>
    <xf numFmtId="0" fontId="1" fillId="33" borderId="96" xfId="0" applyFont="1" applyFill="1" applyBorder="1" applyAlignment="1">
      <alignment vertical="center" wrapText="1"/>
    </xf>
    <xf numFmtId="0" fontId="1" fillId="35" borderId="42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9" fillId="36" borderId="97" xfId="0" applyFont="1" applyFill="1" applyBorder="1" applyAlignment="1">
      <alignment horizontal="center" vertical="center" wrapText="1"/>
    </xf>
    <xf numFmtId="0" fontId="9" fillId="36" borderId="98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vertical="center" wrapText="1"/>
    </xf>
    <xf numFmtId="0" fontId="1" fillId="35" borderId="84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część tabelaryczna" xfId="52"/>
    <cellStyle name="Normalny_Informacja o wykonaniu budżetu za 9 m-cy" xfId="53"/>
    <cellStyle name="Normalny_Informacja o wykonaniu budżetu za I kwartał 2005" xfId="54"/>
    <cellStyle name="Normalny_Jedn.pomocnicze, zakłady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R421"/>
  <sheetViews>
    <sheetView showGridLines="0" tabSelected="1" view="pageBreakPreview" zoomScaleNormal="75" zoomScaleSheetLayoutView="100" zoomScalePageLayoutView="0" workbookViewId="0" topLeftCell="A1">
      <selection activeCell="D398" sqref="D398"/>
    </sheetView>
  </sheetViews>
  <sheetFormatPr defaultColWidth="9.00390625" defaultRowHeight="12"/>
  <cols>
    <col min="1" max="1" width="5.625" style="335" customWidth="1"/>
    <col min="2" max="2" width="10.625" style="335" customWidth="1"/>
    <col min="3" max="3" width="9.125" style="336" customWidth="1"/>
    <col min="4" max="4" width="72.00390625" style="337" customWidth="1"/>
    <col min="5" max="5" width="20.75390625" style="643" customWidth="1"/>
    <col min="6" max="7" width="20.75390625" style="339" customWidth="1"/>
    <col min="8" max="8" width="20.75390625" style="340" customWidth="1"/>
    <col min="9" max="9" width="17.125" style="644" customWidth="1"/>
    <col min="10" max="10" width="19.625" style="341" customWidth="1"/>
    <col min="11" max="11" width="14.625" style="341" bestFit="1" customWidth="1"/>
    <col min="12" max="12" width="14.625" style="335" bestFit="1" customWidth="1"/>
    <col min="13" max="13" width="13.375" style="335" bestFit="1" customWidth="1"/>
    <col min="14" max="16384" width="9.125" style="335" customWidth="1"/>
  </cols>
  <sheetData>
    <row r="1" spans="1:9" s="333" customFormat="1" ht="18" customHeight="1">
      <c r="A1" s="1355" t="s">
        <v>369</v>
      </c>
      <c r="B1" s="1355"/>
      <c r="C1" s="1355"/>
      <c r="D1" s="1355"/>
      <c r="E1" s="1355"/>
      <c r="F1" s="1355"/>
      <c r="G1" s="1355"/>
      <c r="H1" s="906"/>
      <c r="I1" s="906"/>
    </row>
    <row r="2" spans="1:9" s="333" customFormat="1" ht="18" customHeight="1">
      <c r="A2" s="1356" t="s">
        <v>257</v>
      </c>
      <c r="B2" s="1356"/>
      <c r="C2" s="1356"/>
      <c r="D2" s="1356"/>
      <c r="E2" s="1356"/>
      <c r="F2" s="1356"/>
      <c r="G2" s="1356"/>
      <c r="H2" s="1356"/>
      <c r="I2" s="907"/>
    </row>
    <row r="3" spans="1:9" s="334" customFormat="1" ht="18.75" customHeight="1">
      <c r="A3" s="1357" t="s">
        <v>258</v>
      </c>
      <c r="B3" s="1357"/>
      <c r="C3" s="1357"/>
      <c r="D3" s="1357"/>
      <c r="E3" s="1357"/>
      <c r="F3" s="1357"/>
      <c r="G3" s="1357"/>
      <c r="H3" s="908"/>
      <c r="I3" s="909"/>
    </row>
    <row r="4" ht="12.75" thickBot="1"/>
    <row r="5" spans="2:11" s="342" customFormat="1" ht="14.25" customHeight="1">
      <c r="B5" s="1358" t="s">
        <v>1</v>
      </c>
      <c r="C5" s="1360" t="s">
        <v>2</v>
      </c>
      <c r="D5" s="1361"/>
      <c r="E5" s="1364" t="s">
        <v>3</v>
      </c>
      <c r="F5" s="1340" t="s">
        <v>202</v>
      </c>
      <c r="G5" s="1342" t="s">
        <v>4</v>
      </c>
      <c r="H5" s="1343"/>
      <c r="I5" s="1344" t="s">
        <v>201</v>
      </c>
      <c r="J5" s="343"/>
      <c r="K5" s="343"/>
    </row>
    <row r="6" spans="1:11" s="342" customFormat="1" ht="12.75">
      <c r="A6" s="344"/>
      <c r="B6" s="1359"/>
      <c r="C6" s="1362"/>
      <c r="D6" s="1363"/>
      <c r="E6" s="1365"/>
      <c r="F6" s="1341"/>
      <c r="G6" s="345" t="s">
        <v>5</v>
      </c>
      <c r="H6" s="346" t="s">
        <v>6</v>
      </c>
      <c r="I6" s="1345"/>
      <c r="J6" s="343"/>
      <c r="K6" s="343"/>
    </row>
    <row r="7" spans="1:11" s="355" customFormat="1" ht="12" thickBot="1">
      <c r="A7" s="347"/>
      <c r="B7" s="348">
        <v>1</v>
      </c>
      <c r="C7" s="1366">
        <v>2</v>
      </c>
      <c r="D7" s="1367"/>
      <c r="E7" s="349">
        <v>3</v>
      </c>
      <c r="F7" s="350">
        <v>4</v>
      </c>
      <c r="G7" s="351">
        <v>5</v>
      </c>
      <c r="H7" s="352">
        <v>6</v>
      </c>
      <c r="I7" s="353">
        <v>7</v>
      </c>
      <c r="J7" s="354"/>
      <c r="K7" s="354"/>
    </row>
    <row r="8" spans="1:11" ht="31.5" customHeight="1">
      <c r="A8" s="337"/>
      <c r="B8" s="356" t="s">
        <v>186</v>
      </c>
      <c r="C8" s="1368" t="s">
        <v>187</v>
      </c>
      <c r="D8" s="1369"/>
      <c r="E8" s="357">
        <f>E280</f>
        <v>11327.57</v>
      </c>
      <c r="F8" s="357">
        <f>F280</f>
        <v>11327.57</v>
      </c>
      <c r="G8" s="357">
        <f>G280</f>
        <v>11327.57</v>
      </c>
      <c r="H8" s="357">
        <f>H280</f>
        <v>0</v>
      </c>
      <c r="I8" s="358">
        <f>SUM(F8/E8)</f>
        <v>1</v>
      </c>
      <c r="J8" s="359"/>
      <c r="K8" s="359"/>
    </row>
    <row r="9" spans="1:11" ht="14.25" customHeight="1">
      <c r="A9" s="337"/>
      <c r="B9" s="360"/>
      <c r="C9" s="361"/>
      <c r="D9" s="362"/>
      <c r="E9" s="363"/>
      <c r="F9" s="364"/>
      <c r="G9" s="365"/>
      <c r="H9" s="364"/>
      <c r="I9" s="366"/>
      <c r="J9" s="359"/>
      <c r="K9" s="359"/>
    </row>
    <row r="10" spans="1:11" ht="14.25" customHeight="1">
      <c r="A10" s="337"/>
      <c r="B10" s="367">
        <v>600</v>
      </c>
      <c r="C10" s="368" t="s">
        <v>7</v>
      </c>
      <c r="D10" s="369"/>
      <c r="E10" s="370">
        <f>SUM(E50+E359)</f>
        <v>4951163</v>
      </c>
      <c r="F10" s="357">
        <f>SUM(F50+F359)</f>
        <v>1055737.34</v>
      </c>
      <c r="G10" s="357">
        <f>SUM(G50+G359)</f>
        <v>229553.35</v>
      </c>
      <c r="H10" s="357">
        <f>SUM(H50+H359)</f>
        <v>826183.99</v>
      </c>
      <c r="I10" s="371">
        <f>SUM(F10/E10)</f>
        <v>0.2132301723857607</v>
      </c>
      <c r="J10" s="359"/>
      <c r="K10" s="359"/>
    </row>
    <row r="11" spans="1:11" ht="14.25" customHeight="1">
      <c r="A11" s="337"/>
      <c r="B11" s="360"/>
      <c r="C11" s="361"/>
      <c r="D11" s="362"/>
      <c r="E11" s="363"/>
      <c r="F11" s="364"/>
      <c r="G11" s="365"/>
      <c r="H11" s="364"/>
      <c r="I11" s="366"/>
      <c r="J11" s="359"/>
      <c r="K11" s="359"/>
    </row>
    <row r="12" spans="1:11" ht="14.25" customHeight="1">
      <c r="A12" s="337"/>
      <c r="B12" s="360">
        <v>700</v>
      </c>
      <c r="C12" s="361" t="s">
        <v>8</v>
      </c>
      <c r="D12" s="362"/>
      <c r="E12" s="370">
        <f>SUM(E58)</f>
        <v>7035842</v>
      </c>
      <c r="F12" s="357">
        <f>SUM(F58)</f>
        <v>2384741.2699999996</v>
      </c>
      <c r="G12" s="357">
        <f>SUM(G58)</f>
        <v>349556.16000000003</v>
      </c>
      <c r="H12" s="357">
        <f>SUM(H58)</f>
        <v>2035185.1099999999</v>
      </c>
      <c r="I12" s="371">
        <f>SUM(F12/E12)</f>
        <v>0.3389418451977744</v>
      </c>
      <c r="J12" s="359"/>
      <c r="K12" s="359"/>
    </row>
    <row r="13" spans="1:11" ht="14.25" customHeight="1">
      <c r="A13" s="337"/>
      <c r="B13" s="372"/>
      <c r="C13" s="373"/>
      <c r="D13" s="374"/>
      <c r="E13" s="375"/>
      <c r="F13" s="376"/>
      <c r="G13" s="377"/>
      <c r="H13" s="376"/>
      <c r="I13" s="366"/>
      <c r="J13" s="359"/>
      <c r="K13" s="359"/>
    </row>
    <row r="14" spans="1:11" ht="14.25" customHeight="1">
      <c r="A14" s="337"/>
      <c r="B14" s="367">
        <v>710</v>
      </c>
      <c r="C14" s="368" t="s">
        <v>188</v>
      </c>
      <c r="D14" s="369"/>
      <c r="E14" s="357">
        <f>E71</f>
        <v>0</v>
      </c>
      <c r="F14" s="357">
        <f>F71</f>
        <v>442.86</v>
      </c>
      <c r="G14" s="357">
        <f>G71</f>
        <v>442.86</v>
      </c>
      <c r="H14" s="357">
        <v>0</v>
      </c>
      <c r="I14" s="371"/>
      <c r="J14" s="359"/>
      <c r="K14" s="359"/>
    </row>
    <row r="15" spans="1:11" ht="14.25" customHeight="1">
      <c r="A15" s="337"/>
      <c r="B15" s="372"/>
      <c r="C15" s="373"/>
      <c r="D15" s="374"/>
      <c r="E15" s="375"/>
      <c r="F15" s="376"/>
      <c r="G15" s="377"/>
      <c r="H15" s="376"/>
      <c r="I15" s="366"/>
      <c r="J15" s="359"/>
      <c r="K15" s="359"/>
    </row>
    <row r="16" spans="1:11" ht="14.25" customHeight="1">
      <c r="A16" s="337"/>
      <c r="B16" s="367">
        <v>750</v>
      </c>
      <c r="C16" s="368" t="s">
        <v>9</v>
      </c>
      <c r="D16" s="369"/>
      <c r="E16" s="370">
        <f>SUM(E76+E287)</f>
        <v>809168</v>
      </c>
      <c r="F16" s="357">
        <f>SUM(F76+F287)</f>
        <v>297381.64</v>
      </c>
      <c r="G16" s="357">
        <f>SUM(G76+G287)</f>
        <v>297381.64</v>
      </c>
      <c r="H16" s="357">
        <f>SUM(H76+H287)</f>
        <v>0</v>
      </c>
      <c r="I16" s="371">
        <f>SUM(F16/E16)</f>
        <v>0.3675153243825757</v>
      </c>
      <c r="J16" s="359"/>
      <c r="K16" s="359"/>
    </row>
    <row r="17" spans="1:11" ht="6.75" customHeight="1">
      <c r="A17" s="337"/>
      <c r="B17" s="360"/>
      <c r="C17" s="361"/>
      <c r="D17" s="362"/>
      <c r="E17" s="378"/>
      <c r="F17" s="379"/>
      <c r="G17" s="380"/>
      <c r="H17" s="379"/>
      <c r="I17" s="366"/>
      <c r="J17" s="359"/>
      <c r="K17" s="359"/>
    </row>
    <row r="18" spans="1:11" ht="14.25" customHeight="1">
      <c r="A18" s="337"/>
      <c r="B18" s="360">
        <v>751</v>
      </c>
      <c r="C18" s="361" t="s">
        <v>10</v>
      </c>
      <c r="D18" s="362"/>
      <c r="E18" s="378"/>
      <c r="F18" s="379"/>
      <c r="G18" s="380"/>
      <c r="H18" s="379"/>
      <c r="I18" s="371"/>
      <c r="J18" s="359"/>
      <c r="K18" s="359"/>
    </row>
    <row r="19" spans="1:11" ht="14.25" customHeight="1">
      <c r="A19" s="337"/>
      <c r="B19" s="360"/>
      <c r="C19" s="361" t="s">
        <v>11</v>
      </c>
      <c r="D19" s="362"/>
      <c r="E19" s="370">
        <f>SUM(E295)</f>
        <v>53320</v>
      </c>
      <c r="F19" s="357">
        <f>SUM(F295)</f>
        <v>51640</v>
      </c>
      <c r="G19" s="357">
        <f>SUM(G295)</f>
        <v>51640</v>
      </c>
      <c r="H19" s="357">
        <f>SUM(H295)</f>
        <v>0</v>
      </c>
      <c r="I19" s="371">
        <f>SUM(F19/E19)</f>
        <v>0.9684921230307577</v>
      </c>
      <c r="J19" s="359"/>
      <c r="K19" s="359"/>
    </row>
    <row r="20" spans="1:11" ht="9.75" customHeight="1">
      <c r="A20" s="337"/>
      <c r="B20" s="381"/>
      <c r="C20" s="373"/>
      <c r="D20" s="374"/>
      <c r="E20" s="373"/>
      <c r="F20" s="382"/>
      <c r="G20" s="383"/>
      <c r="H20" s="382"/>
      <c r="I20" s="366"/>
      <c r="J20" s="359"/>
      <c r="K20" s="359"/>
    </row>
    <row r="21" spans="1:11" ht="14.25" customHeight="1">
      <c r="A21" s="337"/>
      <c r="B21" s="360">
        <v>754</v>
      </c>
      <c r="C21" s="361" t="s">
        <v>12</v>
      </c>
      <c r="D21" s="362"/>
      <c r="E21" s="378"/>
      <c r="F21" s="379"/>
      <c r="G21" s="380"/>
      <c r="H21" s="379"/>
      <c r="I21" s="371"/>
      <c r="J21" s="359"/>
      <c r="K21" s="359"/>
    </row>
    <row r="22" spans="1:11" ht="14.25" customHeight="1">
      <c r="A22" s="337"/>
      <c r="B22" s="384"/>
      <c r="C22" s="368" t="s">
        <v>13</v>
      </c>
      <c r="D22" s="369"/>
      <c r="E22" s="370">
        <f>SUM(E90)</f>
        <v>35000</v>
      </c>
      <c r="F22" s="357">
        <f>SUM(F90)</f>
        <v>26328.37</v>
      </c>
      <c r="G22" s="357">
        <f>SUM(G90)</f>
        <v>26328.37</v>
      </c>
      <c r="H22" s="357">
        <f>SUM(H90)</f>
        <v>0</v>
      </c>
      <c r="I22" s="52">
        <f>SUM(F22/E22)</f>
        <v>0.7522391428571428</v>
      </c>
      <c r="J22" s="359"/>
      <c r="K22" s="359"/>
    </row>
    <row r="23" spans="1:11" ht="14.25" customHeight="1">
      <c r="A23" s="337"/>
      <c r="B23" s="360">
        <v>756</v>
      </c>
      <c r="C23" s="361" t="s">
        <v>14</v>
      </c>
      <c r="D23" s="362"/>
      <c r="E23" s="378"/>
      <c r="F23" s="379"/>
      <c r="G23" s="380"/>
      <c r="H23" s="379"/>
      <c r="I23" s="371"/>
      <c r="J23" s="359"/>
      <c r="K23" s="359"/>
    </row>
    <row r="24" spans="1:11" ht="14.25" customHeight="1">
      <c r="A24" s="337"/>
      <c r="B24" s="360"/>
      <c r="C24" s="361" t="s">
        <v>15</v>
      </c>
      <c r="D24" s="362"/>
      <c r="E24" s="385"/>
      <c r="F24" s="386"/>
      <c r="G24" s="387"/>
      <c r="H24" s="386"/>
      <c r="I24" s="371"/>
      <c r="J24" s="359"/>
      <c r="K24" s="359"/>
    </row>
    <row r="25" spans="1:11" ht="12.75">
      <c r="A25" s="337"/>
      <c r="B25" s="360"/>
      <c r="C25" s="361" t="s">
        <v>16</v>
      </c>
      <c r="D25" s="362"/>
      <c r="E25" s="370">
        <f>SUM(E96)</f>
        <v>63499572</v>
      </c>
      <c r="F25" s="357">
        <f>SUM(F96)</f>
        <v>42191562.45</v>
      </c>
      <c r="G25" s="357">
        <f>SUM(G96)</f>
        <v>42191562.45</v>
      </c>
      <c r="H25" s="357">
        <f>SUM(H96)</f>
        <v>0</v>
      </c>
      <c r="I25" s="371">
        <f>SUM(F25/E25)</f>
        <v>0.6644385327510555</v>
      </c>
      <c r="J25" s="359"/>
      <c r="K25" s="359"/>
    </row>
    <row r="26" spans="1:11" ht="14.25" customHeight="1">
      <c r="A26" s="337"/>
      <c r="B26" s="372"/>
      <c r="C26" s="373"/>
      <c r="D26" s="374"/>
      <c r="E26" s="388"/>
      <c r="F26" s="382"/>
      <c r="G26" s="383"/>
      <c r="H26" s="382"/>
      <c r="I26" s="366"/>
      <c r="J26" s="359"/>
      <c r="K26" s="359"/>
    </row>
    <row r="27" spans="1:11" ht="14.25" customHeight="1">
      <c r="A27" s="337"/>
      <c r="B27" s="389">
        <v>758</v>
      </c>
      <c r="C27" s="368" t="s">
        <v>17</v>
      </c>
      <c r="D27" s="369"/>
      <c r="E27" s="370">
        <f>SUM(E145)</f>
        <v>18647040</v>
      </c>
      <c r="F27" s="357">
        <f>SUM(F145)</f>
        <v>15837759.51</v>
      </c>
      <c r="G27" s="357">
        <f>SUM(G145)</f>
        <v>15837759.51</v>
      </c>
      <c r="H27" s="357">
        <f>SUM(H145)</f>
        <v>0</v>
      </c>
      <c r="I27" s="371">
        <f>SUM(F27/E27)</f>
        <v>0.8493444273192957</v>
      </c>
      <c r="J27" s="359"/>
      <c r="K27" s="359"/>
    </row>
    <row r="28" spans="1:11" ht="14.25" customHeight="1">
      <c r="A28" s="337"/>
      <c r="B28" s="390"/>
      <c r="C28" s="361"/>
      <c r="D28" s="362"/>
      <c r="E28" s="378"/>
      <c r="F28" s="379"/>
      <c r="G28" s="380"/>
      <c r="H28" s="379"/>
      <c r="I28" s="366"/>
      <c r="J28" s="359"/>
      <c r="K28" s="359"/>
    </row>
    <row r="29" spans="1:11" ht="14.25" customHeight="1">
      <c r="A29" s="337"/>
      <c r="B29" s="390">
        <v>801</v>
      </c>
      <c r="C29" s="361" t="s">
        <v>18</v>
      </c>
      <c r="D29" s="362"/>
      <c r="E29" s="370">
        <f>SUM(E159)+E307</f>
        <v>374135</v>
      </c>
      <c r="F29" s="357">
        <f>SUM(F159)+F307</f>
        <v>368330.92000000004</v>
      </c>
      <c r="G29" s="357">
        <f>SUM(G159)+G307</f>
        <v>368330.92000000004</v>
      </c>
      <c r="H29" s="357">
        <f>SUM(H159)+H307</f>
        <v>0</v>
      </c>
      <c r="I29" s="371">
        <f>SUM(F29/E29)</f>
        <v>0.9844866692504044</v>
      </c>
      <c r="J29" s="359"/>
      <c r="K29" s="359"/>
    </row>
    <row r="30" spans="1:11" ht="14.25" customHeight="1">
      <c r="A30" s="337"/>
      <c r="B30" s="392"/>
      <c r="C30" s="373"/>
      <c r="D30" s="374"/>
      <c r="E30" s="388"/>
      <c r="F30" s="382"/>
      <c r="G30" s="383"/>
      <c r="H30" s="382"/>
      <c r="I30" s="366"/>
      <c r="J30" s="359"/>
      <c r="K30" s="359"/>
    </row>
    <row r="31" spans="1:11" ht="14.25" customHeight="1">
      <c r="A31" s="337"/>
      <c r="B31" s="389">
        <v>851</v>
      </c>
      <c r="C31" s="368" t="s">
        <v>19</v>
      </c>
      <c r="D31" s="369"/>
      <c r="E31" s="370">
        <f>SUM(E185)+E315</f>
        <v>3571</v>
      </c>
      <c r="F31" s="357">
        <f>SUM(F185)+F315</f>
        <v>2250.29</v>
      </c>
      <c r="G31" s="357">
        <f>SUM(G185)+G315</f>
        <v>2250.29</v>
      </c>
      <c r="H31" s="357">
        <f>SUM(H185)+H315</f>
        <v>0</v>
      </c>
      <c r="I31" s="371">
        <f>SUM(F31/E31)</f>
        <v>0.6301568188182581</v>
      </c>
      <c r="J31" s="359"/>
      <c r="K31" s="359"/>
    </row>
    <row r="32" spans="1:11" ht="14.25" customHeight="1">
      <c r="A32" s="337"/>
      <c r="B32" s="390"/>
      <c r="C32" s="361"/>
      <c r="D32" s="362"/>
      <c r="E32" s="378"/>
      <c r="F32" s="379"/>
      <c r="G32" s="380"/>
      <c r="H32" s="379"/>
      <c r="I32" s="366"/>
      <c r="J32" s="359"/>
      <c r="K32" s="359"/>
    </row>
    <row r="33" spans="1:11" ht="14.25" customHeight="1">
      <c r="A33" s="337"/>
      <c r="B33" s="389">
        <v>852</v>
      </c>
      <c r="C33" s="393" t="s">
        <v>20</v>
      </c>
      <c r="D33" s="394"/>
      <c r="E33" s="370">
        <f>E192+E322</f>
        <v>10906988</v>
      </c>
      <c r="F33" s="357">
        <f>F192+F322</f>
        <v>8038944.59</v>
      </c>
      <c r="G33" s="357">
        <f>G192+G322</f>
        <v>8038944.59</v>
      </c>
      <c r="H33" s="357">
        <f>H192+H322</f>
        <v>0</v>
      </c>
      <c r="I33" s="371">
        <f>SUM(F33/E33)</f>
        <v>0.7370453318551372</v>
      </c>
      <c r="J33" s="359"/>
      <c r="K33" s="359"/>
    </row>
    <row r="34" spans="1:11" ht="14.25" customHeight="1">
      <c r="A34" s="337"/>
      <c r="B34" s="392"/>
      <c r="C34" s="373"/>
      <c r="D34" s="374"/>
      <c r="E34" s="395"/>
      <c r="F34" s="396"/>
      <c r="G34" s="380"/>
      <c r="H34" s="379"/>
      <c r="I34" s="366"/>
      <c r="J34" s="359"/>
      <c r="K34" s="359"/>
    </row>
    <row r="35" spans="1:11" ht="14.25" customHeight="1">
      <c r="A35" s="337"/>
      <c r="B35" s="389">
        <v>853</v>
      </c>
      <c r="C35" s="368" t="s">
        <v>21</v>
      </c>
      <c r="D35" s="369"/>
      <c r="E35" s="370">
        <f>E217+E371+E384</f>
        <v>1443347</v>
      </c>
      <c r="F35" s="357">
        <f>SUM(F217)+F369+F384</f>
        <v>1364072.65</v>
      </c>
      <c r="G35" s="357">
        <f>SUM(G217)+G369+G384</f>
        <v>1364072.65</v>
      </c>
      <c r="H35" s="357">
        <f>SUM(H217)+H369+H384</f>
        <v>0</v>
      </c>
      <c r="I35" s="52">
        <f>SUM(F35/E35)</f>
        <v>0.9450760281484631</v>
      </c>
      <c r="J35" s="359"/>
      <c r="K35" s="359"/>
    </row>
    <row r="36" spans="1:11" ht="14.25" customHeight="1">
      <c r="A36" s="337"/>
      <c r="B36" s="390"/>
      <c r="C36" s="361"/>
      <c r="D36" s="362"/>
      <c r="E36" s="397"/>
      <c r="F36" s="396"/>
      <c r="G36" s="396"/>
      <c r="H36" s="396"/>
      <c r="I36" s="371"/>
      <c r="J36" s="359"/>
      <c r="K36" s="359"/>
    </row>
    <row r="37" spans="1:11" ht="14.25" customHeight="1">
      <c r="A37" s="337"/>
      <c r="B37" s="390">
        <v>854</v>
      </c>
      <c r="C37" s="398" t="s">
        <v>209</v>
      </c>
      <c r="D37" s="362"/>
      <c r="E37" s="397">
        <f>E225</f>
        <v>120177</v>
      </c>
      <c r="F37" s="399">
        <f>F225</f>
        <v>120177</v>
      </c>
      <c r="G37" s="396">
        <f>G225</f>
        <v>120177</v>
      </c>
      <c r="H37" s="396">
        <f>H225</f>
        <v>0</v>
      </c>
      <c r="I37" s="371">
        <f>SUM(F37/E37)</f>
        <v>1</v>
      </c>
      <c r="J37" s="359"/>
      <c r="K37" s="359"/>
    </row>
    <row r="38" spans="1:11" ht="14.25" customHeight="1">
      <c r="A38" s="337"/>
      <c r="B38" s="392"/>
      <c r="C38" s="373"/>
      <c r="D38" s="374"/>
      <c r="E38" s="388"/>
      <c r="F38" s="382"/>
      <c r="G38" s="383"/>
      <c r="H38" s="382"/>
      <c r="I38" s="366"/>
      <c r="J38" s="359"/>
      <c r="K38" s="359"/>
    </row>
    <row r="39" spans="1:11" ht="14.25" customHeight="1">
      <c r="A39" s="337"/>
      <c r="B39" s="389">
        <v>900</v>
      </c>
      <c r="C39" s="368" t="s">
        <v>22</v>
      </c>
      <c r="D39" s="369"/>
      <c r="E39" s="370">
        <f>SUM(E230)</f>
        <v>6558985</v>
      </c>
      <c r="F39" s="357">
        <f>SUM(F230)</f>
        <v>3314233.74</v>
      </c>
      <c r="G39" s="357">
        <f>SUM(G230)</f>
        <v>2638610.8100000005</v>
      </c>
      <c r="H39" s="357">
        <f>SUM(H230)</f>
        <v>675622.93</v>
      </c>
      <c r="I39" s="371">
        <f>SUM(F39/E39)</f>
        <v>0.5052967402730758</v>
      </c>
      <c r="J39" s="359"/>
      <c r="K39" s="359"/>
    </row>
    <row r="40" spans="1:11" ht="14.25" customHeight="1">
      <c r="A40" s="337"/>
      <c r="B40" s="360"/>
      <c r="C40" s="361"/>
      <c r="D40" s="362"/>
      <c r="E40" s="378"/>
      <c r="F40" s="379"/>
      <c r="G40" s="380"/>
      <c r="H40" s="379"/>
      <c r="I40" s="366"/>
      <c r="J40" s="359"/>
      <c r="K40" s="359"/>
    </row>
    <row r="41" spans="1:11" ht="14.25" customHeight="1" thickBot="1">
      <c r="A41" s="337"/>
      <c r="B41" s="367">
        <v>921</v>
      </c>
      <c r="C41" s="368" t="s">
        <v>23</v>
      </c>
      <c r="D41" s="369"/>
      <c r="E41" s="370">
        <f>SUM(E263)</f>
        <v>250613</v>
      </c>
      <c r="F41" s="357">
        <f>SUM(F263)</f>
        <v>613.19</v>
      </c>
      <c r="G41" s="357">
        <f>SUM(G263)</f>
        <v>613.19</v>
      </c>
      <c r="H41" s="357">
        <f>SUM(H263)</f>
        <v>0</v>
      </c>
      <c r="I41" s="371">
        <f>SUM(F41/E41)</f>
        <v>0.002446760543148201</v>
      </c>
      <c r="J41" s="359"/>
      <c r="K41" s="359"/>
    </row>
    <row r="42" spans="1:9" ht="14.25" customHeight="1">
      <c r="A42" s="337"/>
      <c r="B42" s="400"/>
      <c r="C42" s="401"/>
      <c r="D42" s="402"/>
      <c r="E42" s="403"/>
      <c r="F42" s="404"/>
      <c r="G42" s="405"/>
      <c r="H42" s="406"/>
      <c r="I42" s="407"/>
    </row>
    <row r="43" spans="1:18" ht="24" customHeight="1" thickBot="1">
      <c r="A43" s="337"/>
      <c r="B43" s="408"/>
      <c r="C43" s="1370" t="s">
        <v>24</v>
      </c>
      <c r="D43" s="1371"/>
      <c r="E43" s="409">
        <f>SUM(E8:E41)</f>
        <v>114700248.57</v>
      </c>
      <c r="F43" s="409">
        <f>SUM(F8:F41)</f>
        <v>75065543.39</v>
      </c>
      <c r="G43" s="409">
        <f>SUM(G8:G41)</f>
        <v>71528551.36000001</v>
      </c>
      <c r="H43" s="409">
        <f>SUM(H8:H41)</f>
        <v>3536992.03</v>
      </c>
      <c r="I43" s="410">
        <f>SUM(F43/E43)</f>
        <v>0.6544497010761797</v>
      </c>
      <c r="J43" s="411"/>
      <c r="K43" s="412"/>
      <c r="L43" s="413"/>
      <c r="M43" s="413"/>
      <c r="N43" s="413"/>
      <c r="O43" s="413"/>
      <c r="P43" s="414"/>
      <c r="Q43" s="414"/>
      <c r="R43" s="414"/>
    </row>
    <row r="44" spans="1:13" ht="16.5" customHeight="1">
      <c r="A44" s="337"/>
      <c r="B44" s="415"/>
      <c r="C44" s="416"/>
      <c r="D44" s="417"/>
      <c r="E44" s="418"/>
      <c r="F44" s="418"/>
      <c r="G44" s="418"/>
      <c r="H44" s="418"/>
      <c r="I44" s="418"/>
      <c r="J44" s="359"/>
      <c r="K44" s="359"/>
      <c r="L44" s="414"/>
      <c r="M44" s="414"/>
    </row>
    <row r="45" spans="1:11" ht="14.25" customHeight="1">
      <c r="A45" s="1372" t="s">
        <v>259</v>
      </c>
      <c r="B45" s="1372"/>
      <c r="C45" s="1372"/>
      <c r="D45" s="1372"/>
      <c r="E45" s="1372"/>
      <c r="F45" s="1372"/>
      <c r="G45" s="1372"/>
      <c r="H45" s="335"/>
      <c r="I45" s="337"/>
      <c r="J45" s="335"/>
      <c r="K45" s="335"/>
    </row>
    <row r="46" spans="1:9" ht="14.25" customHeight="1" thickBot="1">
      <c r="A46" s="417"/>
      <c r="B46" s="419"/>
      <c r="C46" s="420"/>
      <c r="D46" s="419"/>
      <c r="E46" s="338"/>
      <c r="F46" s="338"/>
      <c r="G46" s="338"/>
      <c r="H46" s="936"/>
      <c r="I46" s="422" t="s">
        <v>0</v>
      </c>
    </row>
    <row r="47" spans="1:11" s="424" customFormat="1" ht="14.25" customHeight="1">
      <c r="A47" s="1347" t="s">
        <v>1</v>
      </c>
      <c r="B47" s="1349" t="s">
        <v>25</v>
      </c>
      <c r="C47" s="1349" t="s">
        <v>26</v>
      </c>
      <c r="D47" s="1349" t="s">
        <v>27</v>
      </c>
      <c r="E47" s="1364" t="s">
        <v>3</v>
      </c>
      <c r="F47" s="1340" t="s">
        <v>202</v>
      </c>
      <c r="G47" s="1342" t="s">
        <v>4</v>
      </c>
      <c r="H47" s="1343"/>
      <c r="I47" s="1344" t="s">
        <v>216</v>
      </c>
      <c r="J47" s="423"/>
      <c r="K47" s="423"/>
    </row>
    <row r="48" spans="1:11" s="426" customFormat="1" ht="12.75">
      <c r="A48" s="1348"/>
      <c r="B48" s="1350"/>
      <c r="C48" s="1350"/>
      <c r="D48" s="1350"/>
      <c r="E48" s="1365"/>
      <c r="F48" s="1341"/>
      <c r="G48" s="345" t="s">
        <v>5</v>
      </c>
      <c r="H48" s="346" t="s">
        <v>6</v>
      </c>
      <c r="I48" s="1345"/>
      <c r="J48" s="425"/>
      <c r="K48" s="425"/>
    </row>
    <row r="49" spans="1:11" s="434" customFormat="1" ht="14.25" customHeight="1" thickBot="1">
      <c r="A49" s="348">
        <v>1</v>
      </c>
      <c r="B49" s="427">
        <v>2</v>
      </c>
      <c r="C49" s="427">
        <v>3</v>
      </c>
      <c r="D49" s="427">
        <v>4</v>
      </c>
      <c r="E49" s="428">
        <v>5</v>
      </c>
      <c r="F49" s="429">
        <v>6</v>
      </c>
      <c r="G49" s="430">
        <v>7</v>
      </c>
      <c r="H49" s="431">
        <v>8</v>
      </c>
      <c r="I49" s="432">
        <v>9</v>
      </c>
      <c r="J49" s="433"/>
      <c r="K49" s="433"/>
    </row>
    <row r="50" spans="1:11" s="439" customFormat="1" ht="27" customHeight="1">
      <c r="A50" s="435">
        <v>600</v>
      </c>
      <c r="B50" s="436"/>
      <c r="C50" s="437"/>
      <c r="D50" s="398" t="s">
        <v>7</v>
      </c>
      <c r="E50" s="370">
        <f>E51+E54</f>
        <v>1163</v>
      </c>
      <c r="F50" s="357">
        <f>F51+F54</f>
        <v>4553.35</v>
      </c>
      <c r="G50" s="357">
        <f>G51+G54</f>
        <v>4553.35</v>
      </c>
      <c r="H50" s="357">
        <f>H51+H54</f>
        <v>0</v>
      </c>
      <c r="I50" s="52">
        <f>SUM(F50/E50)</f>
        <v>3.9151762682717113</v>
      </c>
      <c r="J50" s="438"/>
      <c r="K50" s="438"/>
    </row>
    <row r="51" spans="1:11" s="439" customFormat="1" ht="27" customHeight="1">
      <c r="A51" s="435"/>
      <c r="B51" s="440">
        <v>60004</v>
      </c>
      <c r="C51" s="441"/>
      <c r="D51" s="50" t="s">
        <v>190</v>
      </c>
      <c r="E51" s="442">
        <f>E52</f>
        <v>957</v>
      </c>
      <c r="F51" s="443">
        <f>F52</f>
        <v>4347.13</v>
      </c>
      <c r="G51" s="443">
        <f>G52</f>
        <v>4347.13</v>
      </c>
      <c r="H51" s="443">
        <f>H52</f>
        <v>0</v>
      </c>
      <c r="I51" s="52">
        <f>SUM(F51/E51)</f>
        <v>4.542455590386625</v>
      </c>
      <c r="J51" s="438"/>
      <c r="K51" s="438"/>
    </row>
    <row r="52" spans="1:11" s="439" customFormat="1" ht="27" customHeight="1">
      <c r="A52" s="435"/>
      <c r="B52" s="436"/>
      <c r="C52" s="444" t="s">
        <v>41</v>
      </c>
      <c r="D52" s="50" t="s">
        <v>42</v>
      </c>
      <c r="E52" s="442">
        <v>957</v>
      </c>
      <c r="F52" s="357">
        <f>SUM(G52:H52)</f>
        <v>4347.13</v>
      </c>
      <c r="G52" s="445">
        <v>4347.13</v>
      </c>
      <c r="H52" s="443"/>
      <c r="I52" s="52">
        <f>SUM(F52/E52)</f>
        <v>4.542455590386625</v>
      </c>
      <c r="J52" s="438"/>
      <c r="K52" s="438"/>
    </row>
    <row r="53" spans="1:11" s="439" customFormat="1" ht="14.25" customHeight="1">
      <c r="A53" s="435"/>
      <c r="B53" s="440"/>
      <c r="C53" s="440"/>
      <c r="D53" s="446"/>
      <c r="E53" s="397"/>
      <c r="F53" s="396"/>
      <c r="G53" s="380"/>
      <c r="H53" s="379"/>
      <c r="I53" s="371"/>
      <c r="J53" s="438"/>
      <c r="K53" s="438"/>
    </row>
    <row r="54" spans="1:11" s="439" customFormat="1" ht="14.25" customHeight="1">
      <c r="A54" s="435"/>
      <c r="B54" s="440">
        <v>60016</v>
      </c>
      <c r="C54" s="437"/>
      <c r="D54" s="398" t="s">
        <v>30</v>
      </c>
      <c r="E54" s="370">
        <f>SUM(E55:E56)</f>
        <v>206</v>
      </c>
      <c r="F54" s="357">
        <f>SUM(F55:F56)</f>
        <v>206.22</v>
      </c>
      <c r="G54" s="357">
        <f>SUM(G55:G56)</f>
        <v>206.22</v>
      </c>
      <c r="H54" s="357">
        <f>SUM(H55:H56)</f>
        <v>0</v>
      </c>
      <c r="I54" s="52">
        <f>SUM(F54/E54)</f>
        <v>1.0010679611650486</v>
      </c>
      <c r="J54" s="438"/>
      <c r="K54" s="438"/>
    </row>
    <row r="55" spans="1:11" s="439" customFormat="1" ht="22.5" customHeight="1">
      <c r="A55" s="435"/>
      <c r="B55" s="440"/>
      <c r="C55" s="449" t="s">
        <v>53</v>
      </c>
      <c r="D55" s="398" t="s">
        <v>232</v>
      </c>
      <c r="E55" s="370">
        <v>200</v>
      </c>
      <c r="F55" s="357">
        <f>SUM(G55:H55)</f>
        <v>200</v>
      </c>
      <c r="G55" s="357">
        <v>200</v>
      </c>
      <c r="H55" s="357"/>
      <c r="I55" s="52">
        <f>SUM(F55/E55)</f>
        <v>1</v>
      </c>
      <c r="J55" s="438"/>
      <c r="K55" s="438"/>
    </row>
    <row r="56" spans="1:11" s="439" customFormat="1" ht="26.25" customHeight="1" thickBot="1">
      <c r="A56" s="450"/>
      <c r="B56" s="451"/>
      <c r="C56" s="452" t="s">
        <v>71</v>
      </c>
      <c r="D56" s="453" t="s">
        <v>233</v>
      </c>
      <c r="E56" s="454">
        <v>6</v>
      </c>
      <c r="F56" s="455">
        <f>G56+H56</f>
        <v>6.22</v>
      </c>
      <c r="G56" s="456">
        <v>6.22</v>
      </c>
      <c r="H56" s="626"/>
      <c r="I56" s="457">
        <f>SUM(F56/E56)</f>
        <v>1.0366666666666666</v>
      </c>
      <c r="J56" s="438"/>
      <c r="K56" s="438"/>
    </row>
    <row r="57" spans="1:11" s="439" customFormat="1" ht="14.25" customHeight="1" thickTop="1">
      <c r="A57" s="458"/>
      <c r="B57" s="440"/>
      <c r="C57" s="440"/>
      <c r="D57" s="446"/>
      <c r="E57" s="397"/>
      <c r="F57" s="396"/>
      <c r="G57" s="533"/>
      <c r="H57" s="379"/>
      <c r="I57" s="371"/>
      <c r="J57" s="438"/>
      <c r="K57" s="438"/>
    </row>
    <row r="58" spans="1:11" s="439" customFormat="1" ht="14.25" customHeight="1">
      <c r="A58" s="435">
        <v>700</v>
      </c>
      <c r="B58" s="436"/>
      <c r="C58" s="437"/>
      <c r="D58" s="398" t="s">
        <v>8</v>
      </c>
      <c r="E58" s="370">
        <f>SUM(E59+E61)+E68</f>
        <v>7035842</v>
      </c>
      <c r="F58" s="357">
        <f>SUM(F59+F61)+F68</f>
        <v>2384741.2699999996</v>
      </c>
      <c r="G58" s="357">
        <f>SUM(G59+G61)+G68</f>
        <v>349556.16000000003</v>
      </c>
      <c r="H58" s="357">
        <f>SUM(H59+H61)+H68</f>
        <v>2035185.1099999999</v>
      </c>
      <c r="I58" s="52">
        <f>SUM(F58/E58)</f>
        <v>0.3389418451977744</v>
      </c>
      <c r="J58" s="438"/>
      <c r="K58" s="438"/>
    </row>
    <row r="59" spans="1:11" s="439" customFormat="1" ht="30" customHeight="1">
      <c r="A59" s="435"/>
      <c r="B59" s="440">
        <v>70001</v>
      </c>
      <c r="C59" s="437"/>
      <c r="D59" s="398" t="s">
        <v>31</v>
      </c>
      <c r="E59" s="370">
        <f>SUM(E60:E60)</f>
        <v>119791</v>
      </c>
      <c r="F59" s="391">
        <f>SUM(F60:F60)</f>
        <v>119791.12</v>
      </c>
      <c r="G59" s="391">
        <f>SUM(G60:G60)</f>
        <v>119791.12</v>
      </c>
      <c r="H59" s="391">
        <f>SUM(H60:H60)</f>
        <v>0</v>
      </c>
      <c r="I59" s="52">
        <f>SUM(F59/E59)</f>
        <v>1.0000010017447054</v>
      </c>
      <c r="J59" s="438"/>
      <c r="K59" s="438"/>
    </row>
    <row r="60" spans="1:11" s="439" customFormat="1" ht="27.75" customHeight="1">
      <c r="A60" s="435"/>
      <c r="B60" s="437"/>
      <c r="C60" s="437">
        <v>2370</v>
      </c>
      <c r="D60" s="460" t="s">
        <v>207</v>
      </c>
      <c r="E60" s="370">
        <v>119791</v>
      </c>
      <c r="F60" s="461">
        <f>SUM(G60:H60)</f>
        <v>119791.12</v>
      </c>
      <c r="G60" s="357">
        <v>119791.12</v>
      </c>
      <c r="H60" s="357"/>
      <c r="I60" s="52">
        <f>SUM(F60/E60)</f>
        <v>1.0000010017447054</v>
      </c>
      <c r="J60" s="438"/>
      <c r="K60" s="514"/>
    </row>
    <row r="61" spans="1:11" s="439" customFormat="1" ht="24.75" customHeight="1">
      <c r="A61" s="435"/>
      <c r="B61" s="440">
        <v>70005</v>
      </c>
      <c r="C61" s="437"/>
      <c r="D61" s="398" t="s">
        <v>32</v>
      </c>
      <c r="E61" s="370">
        <f>SUM(E62:E66)+E67</f>
        <v>6888590</v>
      </c>
      <c r="F61" s="357">
        <f>SUM(F62:F66)+F67</f>
        <v>2237489.1499999994</v>
      </c>
      <c r="G61" s="357">
        <f>SUM(G62:G66)+G67</f>
        <v>202304.04000000004</v>
      </c>
      <c r="H61" s="357">
        <f>SUM(H62:H66)+H67</f>
        <v>2035185.1099999999</v>
      </c>
      <c r="I61" s="462">
        <f>F61/E61</f>
        <v>0.3248109046989296</v>
      </c>
      <c r="J61" s="438"/>
      <c r="K61" s="1328"/>
    </row>
    <row r="62" spans="1:11" s="439" customFormat="1" ht="30" customHeight="1">
      <c r="A62" s="435"/>
      <c r="B62" s="440"/>
      <c r="C62" s="463" t="s">
        <v>33</v>
      </c>
      <c r="D62" s="464" t="s">
        <v>34</v>
      </c>
      <c r="E62" s="465">
        <v>143000</v>
      </c>
      <c r="F62" s="461">
        <f aca="true" t="shared" si="0" ref="F62:F67">SUM(G62:H62)</f>
        <v>181171.51</v>
      </c>
      <c r="G62" s="380">
        <v>181171.51</v>
      </c>
      <c r="H62" s="379"/>
      <c r="I62" s="466">
        <f>SUM(F62/E62)</f>
        <v>1.2669336363636365</v>
      </c>
      <c r="J62" s="438"/>
      <c r="K62" s="514"/>
    </row>
    <row r="63" spans="1:11" s="439" customFormat="1" ht="26.25" customHeight="1">
      <c r="A63" s="435"/>
      <c r="B63" s="440"/>
      <c r="C63" s="463" t="s">
        <v>71</v>
      </c>
      <c r="D63" s="464" t="s">
        <v>72</v>
      </c>
      <c r="E63" s="465">
        <v>0</v>
      </c>
      <c r="F63" s="461">
        <f t="shared" si="0"/>
        <v>2355.35</v>
      </c>
      <c r="G63" s="54">
        <v>2355.35</v>
      </c>
      <c r="H63" s="489"/>
      <c r="I63" s="916"/>
      <c r="J63" s="438"/>
      <c r="K63" s="514"/>
    </row>
    <row r="64" spans="1:11" s="439" customFormat="1" ht="30.75" customHeight="1">
      <c r="A64" s="435"/>
      <c r="B64" s="440"/>
      <c r="C64" s="463" t="s">
        <v>35</v>
      </c>
      <c r="D64" s="464" t="s">
        <v>36</v>
      </c>
      <c r="E64" s="465">
        <v>27000</v>
      </c>
      <c r="F64" s="461">
        <f t="shared" si="0"/>
        <v>40590.72</v>
      </c>
      <c r="G64" s="54"/>
      <c r="H64" s="51">
        <v>40590.72</v>
      </c>
      <c r="I64" s="466">
        <f aca="true" t="shared" si="1" ref="I64:I69">SUM(F64/E64)</f>
        <v>1.50336</v>
      </c>
      <c r="J64" s="438"/>
      <c r="K64" s="438"/>
    </row>
    <row r="65" spans="1:11" s="439" customFormat="1" ht="25.5" customHeight="1">
      <c r="A65" s="435"/>
      <c r="B65" s="467"/>
      <c r="C65" s="468" t="s">
        <v>37</v>
      </c>
      <c r="D65" s="469" t="s">
        <v>38</v>
      </c>
      <c r="E65" s="465">
        <v>6712000</v>
      </c>
      <c r="F65" s="461">
        <f t="shared" si="0"/>
        <v>1994594.39</v>
      </c>
      <c r="G65" s="380"/>
      <c r="H65" s="379">
        <v>1994594.39</v>
      </c>
      <c r="I65" s="466">
        <f t="shared" si="1"/>
        <v>0.2971684132896305</v>
      </c>
      <c r="J65" s="438"/>
      <c r="K65" s="438"/>
    </row>
    <row r="66" spans="1:11" s="439" customFormat="1" ht="26.25" customHeight="1">
      <c r="A66" s="470"/>
      <c r="B66" s="440"/>
      <c r="C66" s="468" t="s">
        <v>39</v>
      </c>
      <c r="D66" s="469" t="s">
        <v>40</v>
      </c>
      <c r="E66" s="465">
        <v>1000</v>
      </c>
      <c r="F66" s="461">
        <f t="shared" si="0"/>
        <v>1456.32</v>
      </c>
      <c r="G66" s="54">
        <v>1456.32</v>
      </c>
      <c r="H66" s="51"/>
      <c r="I66" s="466">
        <f t="shared" si="1"/>
        <v>1.4563199999999998</v>
      </c>
      <c r="J66" s="438"/>
      <c r="K66" s="438"/>
    </row>
    <row r="67" spans="1:11" s="439" customFormat="1" ht="25.5" customHeight="1">
      <c r="A67" s="435"/>
      <c r="B67" s="437"/>
      <c r="C67" s="468" t="s">
        <v>41</v>
      </c>
      <c r="D67" s="469" t="s">
        <v>42</v>
      </c>
      <c r="E67" s="465">
        <v>5590</v>
      </c>
      <c r="F67" s="461">
        <f t="shared" si="0"/>
        <v>17320.86</v>
      </c>
      <c r="G67" s="54">
        <v>17320.86</v>
      </c>
      <c r="H67" s="51"/>
      <c r="I67" s="466">
        <f t="shared" si="1"/>
        <v>3.0985438282647584</v>
      </c>
      <c r="J67" s="438"/>
      <c r="K67" s="438"/>
    </row>
    <row r="68" spans="1:11" s="439" customFormat="1" ht="25.5" customHeight="1">
      <c r="A68" s="435"/>
      <c r="B68" s="440">
        <v>70095</v>
      </c>
      <c r="C68" s="471"/>
      <c r="D68" s="472" t="s">
        <v>49</v>
      </c>
      <c r="E68" s="473">
        <f>E69</f>
        <v>27461</v>
      </c>
      <c r="F68" s="474">
        <f>F69</f>
        <v>27461</v>
      </c>
      <c r="G68" s="380">
        <f>G69</f>
        <v>27461</v>
      </c>
      <c r="H68" s="379">
        <f>H69</f>
        <v>0</v>
      </c>
      <c r="I68" s="466">
        <f t="shared" si="1"/>
        <v>1</v>
      </c>
      <c r="J68" s="438"/>
      <c r="K68" s="438"/>
    </row>
    <row r="69" spans="1:11" s="439" customFormat="1" ht="25.5" customHeight="1" thickBot="1">
      <c r="A69" s="450"/>
      <c r="B69" s="451"/>
      <c r="C69" s="475" t="s">
        <v>41</v>
      </c>
      <c r="D69" s="476" t="s">
        <v>42</v>
      </c>
      <c r="E69" s="454">
        <v>27461</v>
      </c>
      <c r="F69" s="477">
        <f>G69+H69</f>
        <v>27461</v>
      </c>
      <c r="G69" s="478">
        <v>27461</v>
      </c>
      <c r="H69" s="937"/>
      <c r="I69" s="479">
        <f t="shared" si="1"/>
        <v>1</v>
      </c>
      <c r="J69" s="438"/>
      <c r="K69" s="438"/>
    </row>
    <row r="70" spans="1:11" s="439" customFormat="1" ht="14.25" customHeight="1" thickTop="1">
      <c r="A70" s="435"/>
      <c r="B70" s="440"/>
      <c r="C70" s="480"/>
      <c r="D70" s="472"/>
      <c r="E70" s="397"/>
      <c r="F70" s="396"/>
      <c r="G70" s="380"/>
      <c r="H70" s="379"/>
      <c r="I70" s="371"/>
      <c r="J70" s="438"/>
      <c r="K70" s="438"/>
    </row>
    <row r="71" spans="1:11" s="439" customFormat="1" ht="14.25" customHeight="1">
      <c r="A71" s="435">
        <v>710</v>
      </c>
      <c r="B71" s="436"/>
      <c r="C71" s="481"/>
      <c r="D71" s="398" t="s">
        <v>188</v>
      </c>
      <c r="E71" s="370">
        <f>E73</f>
        <v>0</v>
      </c>
      <c r="F71" s="357">
        <f>F73</f>
        <v>442.86</v>
      </c>
      <c r="G71" s="357">
        <f>G73</f>
        <v>442.86</v>
      </c>
      <c r="H71" s="357">
        <f>H73</f>
        <v>0</v>
      </c>
      <c r="I71" s="52"/>
      <c r="J71" s="438"/>
      <c r="K71" s="438"/>
    </row>
    <row r="72" spans="1:11" s="439" customFormat="1" ht="14.25" customHeight="1">
      <c r="A72" s="435"/>
      <c r="B72" s="440"/>
      <c r="C72" s="440"/>
      <c r="D72" s="446"/>
      <c r="E72" s="397"/>
      <c r="F72" s="482"/>
      <c r="G72" s="380"/>
      <c r="H72" s="379"/>
      <c r="I72" s="371"/>
      <c r="J72" s="438"/>
      <c r="K72" s="438"/>
    </row>
    <row r="73" spans="1:11" s="439" customFormat="1" ht="14.25" customHeight="1">
      <c r="A73" s="435"/>
      <c r="B73" s="440">
        <v>71014</v>
      </c>
      <c r="C73" s="437"/>
      <c r="D73" s="398" t="s">
        <v>192</v>
      </c>
      <c r="E73" s="370">
        <f>SUM(E74:E74)</f>
        <v>0</v>
      </c>
      <c r="F73" s="357">
        <f>SUM(F74:F74)</f>
        <v>442.86</v>
      </c>
      <c r="G73" s="357">
        <f>SUM(G74:G74)</f>
        <v>442.86</v>
      </c>
      <c r="H73" s="357">
        <f>SUM(H74:H74)</f>
        <v>0</v>
      </c>
      <c r="I73" s="52"/>
      <c r="J73" s="438"/>
      <c r="K73" s="438"/>
    </row>
    <row r="74" spans="1:11" s="439" customFormat="1" ht="30" customHeight="1" thickBot="1">
      <c r="A74" s="450"/>
      <c r="B74" s="451"/>
      <c r="C74" s="475" t="s">
        <v>203</v>
      </c>
      <c r="D74" s="483" t="s">
        <v>205</v>
      </c>
      <c r="E74" s="484">
        <v>0</v>
      </c>
      <c r="F74" s="485">
        <f>G74+H74</f>
        <v>442.86</v>
      </c>
      <c r="G74" s="485">
        <v>442.86</v>
      </c>
      <c r="H74" s="485"/>
      <c r="I74" s="457"/>
      <c r="J74" s="438"/>
      <c r="K74" s="438"/>
    </row>
    <row r="75" spans="1:11" s="439" customFormat="1" ht="14.25" customHeight="1" thickTop="1">
      <c r="A75" s="435"/>
      <c r="B75" s="440"/>
      <c r="C75" s="480"/>
      <c r="D75" s="472"/>
      <c r="E75" s="397"/>
      <c r="F75" s="396"/>
      <c r="G75" s="380"/>
      <c r="H75" s="379"/>
      <c r="I75" s="371"/>
      <c r="J75" s="438"/>
      <c r="K75" s="438"/>
    </row>
    <row r="76" spans="1:11" s="439" customFormat="1" ht="14.25" customHeight="1">
      <c r="A76" s="435">
        <v>750</v>
      </c>
      <c r="B76" s="436"/>
      <c r="C76" s="481"/>
      <c r="D76" s="398" t="s">
        <v>9</v>
      </c>
      <c r="E76" s="370">
        <f>E78+E81+E85</f>
        <v>504168</v>
      </c>
      <c r="F76" s="357">
        <f>F78+F81+F85</f>
        <v>74230.64</v>
      </c>
      <c r="G76" s="357">
        <f>G78+G81+G85</f>
        <v>74230.64</v>
      </c>
      <c r="H76" s="357">
        <f>H78+H81+H85</f>
        <v>0</v>
      </c>
      <c r="I76" s="52">
        <f>SUM(F76/E76)</f>
        <v>0.14723393789371797</v>
      </c>
      <c r="J76" s="438"/>
      <c r="K76" s="438"/>
    </row>
    <row r="77" spans="1:11" s="439" customFormat="1" ht="14.25" customHeight="1">
      <c r="A77" s="435"/>
      <c r="B77" s="440"/>
      <c r="C77" s="440"/>
      <c r="D77" s="446"/>
      <c r="E77" s="397"/>
      <c r="F77" s="396"/>
      <c r="G77" s="380"/>
      <c r="H77" s="379"/>
      <c r="I77" s="366"/>
      <c r="J77" s="438"/>
      <c r="K77" s="438"/>
    </row>
    <row r="78" spans="1:11" s="439" customFormat="1" ht="14.25" customHeight="1">
      <c r="A78" s="435"/>
      <c r="B78" s="440">
        <v>75011</v>
      </c>
      <c r="C78" s="437"/>
      <c r="D78" s="398" t="s">
        <v>43</v>
      </c>
      <c r="E78" s="370">
        <f>SUM(E79:E79)</f>
        <v>12500</v>
      </c>
      <c r="F78" s="357">
        <f>SUM(F79:F79)</f>
        <v>3313.78</v>
      </c>
      <c r="G78" s="357">
        <f>SUM(G79:G79)</f>
        <v>3313.78</v>
      </c>
      <c r="H78" s="357">
        <f>SUM(H79:H79)</f>
        <v>0</v>
      </c>
      <c r="I78" s="52">
        <f>SUM(F78/E78)</f>
        <v>0.2651024</v>
      </c>
      <c r="J78" s="438"/>
      <c r="K78" s="438"/>
    </row>
    <row r="79" spans="1:11" s="439" customFormat="1" ht="25.5">
      <c r="A79" s="486"/>
      <c r="B79" s="437"/>
      <c r="C79" s="487" t="s">
        <v>44</v>
      </c>
      <c r="D79" s="464" t="s">
        <v>45</v>
      </c>
      <c r="E79" s="465">
        <v>12500</v>
      </c>
      <c r="F79" s="488">
        <f>SUM(G79:H79)</f>
        <v>3313.78</v>
      </c>
      <c r="G79" s="54">
        <v>3313.78</v>
      </c>
      <c r="H79" s="51"/>
      <c r="I79" s="466">
        <f>SUM(F79/E79)</f>
        <v>0.2651024</v>
      </c>
      <c r="J79" s="438"/>
      <c r="K79" s="438"/>
    </row>
    <row r="80" spans="1:11" s="355" customFormat="1" ht="14.25" customHeight="1">
      <c r="A80" s="490">
        <v>1</v>
      </c>
      <c r="B80" s="491">
        <v>2</v>
      </c>
      <c r="C80" s="491">
        <v>3</v>
      </c>
      <c r="D80" s="491">
        <v>4</v>
      </c>
      <c r="E80" s="492">
        <v>5</v>
      </c>
      <c r="F80" s="493">
        <v>6</v>
      </c>
      <c r="G80" s="493">
        <v>7</v>
      </c>
      <c r="H80" s="494">
        <v>8</v>
      </c>
      <c r="I80" s="495">
        <v>9</v>
      </c>
      <c r="J80" s="354"/>
      <c r="K80" s="354"/>
    </row>
    <row r="81" spans="1:11" s="439" customFormat="1" ht="32.25" customHeight="1">
      <c r="A81" s="435"/>
      <c r="B81" s="440">
        <v>75023</v>
      </c>
      <c r="C81" s="496"/>
      <c r="D81" s="464" t="s">
        <v>46</v>
      </c>
      <c r="E81" s="370">
        <f>SUM(E82:E83)</f>
        <v>427592</v>
      </c>
      <c r="F81" s="357">
        <f>SUM(F82:F83)</f>
        <v>6841.12</v>
      </c>
      <c r="G81" s="357">
        <f>SUM(G82:G83)</f>
        <v>6841.12</v>
      </c>
      <c r="H81" s="357">
        <f>SUM(H82:H83)</f>
        <v>0</v>
      </c>
      <c r="I81" s="52">
        <f>SUM(F81/E81)</f>
        <v>0.015999176785346778</v>
      </c>
      <c r="J81" s="438"/>
      <c r="K81" s="438"/>
    </row>
    <row r="82" spans="1:11" s="439" customFormat="1" ht="25.5" customHeight="1">
      <c r="A82" s="435"/>
      <c r="B82" s="440"/>
      <c r="C82" s="497" t="s">
        <v>41</v>
      </c>
      <c r="D82" s="464" t="s">
        <v>42</v>
      </c>
      <c r="E82" s="465">
        <v>4700</v>
      </c>
      <c r="F82" s="488">
        <f>SUM(G82:H82)</f>
        <v>6841.12</v>
      </c>
      <c r="G82" s="54">
        <v>6841.12</v>
      </c>
      <c r="H82" s="51"/>
      <c r="I82" s="466">
        <f>SUM(F82/E82)</f>
        <v>1.4555574468085106</v>
      </c>
      <c r="J82" s="438"/>
      <c r="K82" s="438"/>
    </row>
    <row r="83" spans="1:11" s="439" customFormat="1" ht="31.5" customHeight="1">
      <c r="A83" s="435"/>
      <c r="B83" s="437"/>
      <c r="C83" s="497" t="s">
        <v>234</v>
      </c>
      <c r="D83" s="464" t="s">
        <v>29</v>
      </c>
      <c r="E83" s="465">
        <v>422892</v>
      </c>
      <c r="F83" s="488">
        <f>SUM(G83:H83)</f>
        <v>0</v>
      </c>
      <c r="G83" s="54"/>
      <c r="H83" s="51">
        <v>0</v>
      </c>
      <c r="I83" s="466">
        <f>SUM(F83/E83)</f>
        <v>0</v>
      </c>
      <c r="J83" s="438"/>
      <c r="K83" s="438"/>
    </row>
    <row r="84" spans="1:11" s="439" customFormat="1" ht="14.25" customHeight="1">
      <c r="A84" s="435"/>
      <c r="B84" s="440"/>
      <c r="C84" s="440"/>
      <c r="D84" s="446"/>
      <c r="E84" s="395"/>
      <c r="F84" s="498"/>
      <c r="G84" s="383"/>
      <c r="H84" s="382"/>
      <c r="I84" s="366"/>
      <c r="J84" s="438"/>
      <c r="K84" s="438"/>
    </row>
    <row r="85" spans="1:11" s="439" customFormat="1" ht="14.25" customHeight="1">
      <c r="A85" s="435"/>
      <c r="B85" s="440">
        <v>75095</v>
      </c>
      <c r="C85" s="437"/>
      <c r="D85" s="398" t="s">
        <v>49</v>
      </c>
      <c r="E85" s="370">
        <f>E86+E87</f>
        <v>64076</v>
      </c>
      <c r="F85" s="357">
        <f>F86+F87</f>
        <v>64075.74</v>
      </c>
      <c r="G85" s="357">
        <f>G86+G87</f>
        <v>64075.74</v>
      </c>
      <c r="H85" s="357">
        <f>H86+H87</f>
        <v>0</v>
      </c>
      <c r="I85" s="52">
        <f>SUM(F85/E85)</f>
        <v>0.9999959423184968</v>
      </c>
      <c r="J85" s="438"/>
      <c r="K85" s="438"/>
    </row>
    <row r="86" spans="1:11" s="439" customFormat="1" ht="38.25">
      <c r="A86" s="435"/>
      <c r="B86" s="440"/>
      <c r="C86" s="444" t="s">
        <v>235</v>
      </c>
      <c r="D86" s="469" t="s">
        <v>48</v>
      </c>
      <c r="E86" s="442">
        <v>10000</v>
      </c>
      <c r="F86" s="488">
        <f>SUM(G86:H86)</f>
        <v>10000</v>
      </c>
      <c r="G86" s="445">
        <v>10000</v>
      </c>
      <c r="H86" s="443"/>
      <c r="I86" s="371">
        <f>SUM(F86/E86)</f>
        <v>1</v>
      </c>
      <c r="J86" s="438"/>
      <c r="K86" s="438"/>
    </row>
    <row r="87" spans="1:11" s="439" customFormat="1" ht="39" thickBot="1">
      <c r="A87" s="450"/>
      <c r="B87" s="451"/>
      <c r="C87" s="501" t="s">
        <v>47</v>
      </c>
      <c r="D87" s="453" t="s">
        <v>48</v>
      </c>
      <c r="E87" s="502">
        <v>54076</v>
      </c>
      <c r="F87" s="477">
        <f>SUM(G87:H87)</f>
        <v>54075.74</v>
      </c>
      <c r="G87" s="456">
        <v>54075.74</v>
      </c>
      <c r="H87" s="626"/>
      <c r="I87" s="457">
        <f>SUM(F87/E87)</f>
        <v>0.9999951919520674</v>
      </c>
      <c r="J87" s="514"/>
      <c r="K87" s="438"/>
    </row>
    <row r="88" spans="1:11" s="439" customFormat="1" ht="14.25" customHeight="1" thickTop="1">
      <c r="A88" s="435"/>
      <c r="B88" s="440"/>
      <c r="C88" s="440"/>
      <c r="D88" s="446"/>
      <c r="E88" s="503"/>
      <c r="F88" s="380"/>
      <c r="G88" s="380"/>
      <c r="H88" s="379"/>
      <c r="I88" s="371"/>
      <c r="J88" s="438"/>
      <c r="K88" s="438"/>
    </row>
    <row r="89" spans="1:11" s="439" customFormat="1" ht="14.25" customHeight="1">
      <c r="A89" s="435">
        <v>754</v>
      </c>
      <c r="B89" s="504"/>
      <c r="C89" s="440"/>
      <c r="D89" s="446" t="s">
        <v>50</v>
      </c>
      <c r="E89" s="378"/>
      <c r="F89" s="379"/>
      <c r="G89" s="380"/>
      <c r="H89" s="379"/>
      <c r="I89" s="371"/>
      <c r="J89" s="438"/>
      <c r="K89" s="438"/>
    </row>
    <row r="90" spans="1:11" s="439" customFormat="1" ht="14.25" customHeight="1">
      <c r="A90" s="435"/>
      <c r="B90" s="436"/>
      <c r="C90" s="437"/>
      <c r="D90" s="398" t="s">
        <v>51</v>
      </c>
      <c r="E90" s="505">
        <f>E92</f>
        <v>35000</v>
      </c>
      <c r="F90" s="505">
        <f>F92</f>
        <v>26328.37</v>
      </c>
      <c r="G90" s="505">
        <f>G92</f>
        <v>26328.37</v>
      </c>
      <c r="H90" s="505">
        <f>H92</f>
        <v>0</v>
      </c>
      <c r="I90" s="52">
        <f>SUM(F90/E90)</f>
        <v>0.7522391428571428</v>
      </c>
      <c r="J90" s="438"/>
      <c r="K90" s="438"/>
    </row>
    <row r="91" spans="1:11" s="439" customFormat="1" ht="14.25" customHeight="1">
      <c r="A91" s="435"/>
      <c r="B91" s="440"/>
      <c r="C91" s="440"/>
      <c r="D91" s="446"/>
      <c r="E91" s="397"/>
      <c r="F91" s="396"/>
      <c r="G91" s="533"/>
      <c r="H91" s="396"/>
      <c r="I91" s="366"/>
      <c r="J91" s="438"/>
      <c r="K91" s="438"/>
    </row>
    <row r="92" spans="1:11" s="439" customFormat="1" ht="14.25" customHeight="1">
      <c r="A92" s="435"/>
      <c r="B92" s="440">
        <v>75416</v>
      </c>
      <c r="C92" s="440"/>
      <c r="D92" s="446" t="s">
        <v>52</v>
      </c>
      <c r="E92" s="397">
        <f>SUM(E93:E93)</f>
        <v>35000</v>
      </c>
      <c r="F92" s="396">
        <f>SUM(F93:F93)</f>
        <v>26328.37</v>
      </c>
      <c r="G92" s="396">
        <f>SUM(G93:G93)</f>
        <v>26328.37</v>
      </c>
      <c r="H92" s="396">
        <f>SUM(H93:H93)</f>
        <v>0</v>
      </c>
      <c r="I92" s="371">
        <f>SUM(F92/E92)</f>
        <v>0.7522391428571428</v>
      </c>
      <c r="J92" s="438"/>
      <c r="K92" s="438"/>
    </row>
    <row r="93" spans="1:11" s="439" customFormat="1" ht="25.5" customHeight="1" thickBot="1">
      <c r="A93" s="450"/>
      <c r="B93" s="451"/>
      <c r="C93" s="475" t="s">
        <v>53</v>
      </c>
      <c r="D93" s="476" t="s">
        <v>54</v>
      </c>
      <c r="E93" s="484">
        <v>35000</v>
      </c>
      <c r="F93" s="507">
        <f>SUM(G93:H93)</f>
        <v>26328.37</v>
      </c>
      <c r="G93" s="478">
        <v>26328.37</v>
      </c>
      <c r="H93" s="937"/>
      <c r="I93" s="457">
        <f>SUM(F93/E93)</f>
        <v>0.7522391428571428</v>
      </c>
      <c r="J93" s="438"/>
      <c r="K93" s="438"/>
    </row>
    <row r="94" spans="1:11" s="439" customFormat="1" ht="14.25" customHeight="1" thickTop="1">
      <c r="A94" s="435">
        <v>756</v>
      </c>
      <c r="B94" s="504"/>
      <c r="C94" s="440"/>
      <c r="D94" s="446" t="s">
        <v>256</v>
      </c>
      <c r="E94" s="397"/>
      <c r="F94" s="396"/>
      <c r="G94" s="380"/>
      <c r="H94" s="379"/>
      <c r="I94" s="371"/>
      <c r="J94" s="438"/>
      <c r="K94" s="438"/>
    </row>
    <row r="95" spans="1:11" s="439" customFormat="1" ht="14.25" customHeight="1">
      <c r="A95" s="435"/>
      <c r="B95" s="504"/>
      <c r="C95" s="440"/>
      <c r="D95" s="446" t="s">
        <v>15</v>
      </c>
      <c r="E95" s="397"/>
      <c r="F95" s="396"/>
      <c r="G95" s="380"/>
      <c r="H95" s="379"/>
      <c r="I95" s="371"/>
      <c r="J95" s="438"/>
      <c r="K95" s="438"/>
    </row>
    <row r="96" spans="1:11" s="439" customFormat="1" ht="14.25" customHeight="1">
      <c r="A96" s="435"/>
      <c r="B96" s="504"/>
      <c r="C96" s="437"/>
      <c r="D96" s="398" t="s">
        <v>16</v>
      </c>
      <c r="E96" s="370">
        <f>E98+E103+E116+E130+E141</f>
        <v>63499572</v>
      </c>
      <c r="F96" s="357">
        <f>F98+F103+F116+F130+F141</f>
        <v>42191562.45</v>
      </c>
      <c r="G96" s="357">
        <f>G98+G103+G116+G130+G141</f>
        <v>42191562.45</v>
      </c>
      <c r="H96" s="357">
        <f>H98+H103+H116+H130+H141</f>
        <v>0</v>
      </c>
      <c r="I96" s="52">
        <f>SUM(F96/E96)</f>
        <v>0.6644385327510555</v>
      </c>
      <c r="J96" s="438"/>
      <c r="K96" s="438"/>
    </row>
    <row r="97" spans="1:11" s="439" customFormat="1" ht="14.25" customHeight="1">
      <c r="A97" s="435"/>
      <c r="B97" s="508"/>
      <c r="C97" s="509"/>
      <c r="D97" s="446"/>
      <c r="E97" s="397"/>
      <c r="F97" s="396"/>
      <c r="G97" s="533"/>
      <c r="H97" s="396"/>
      <c r="I97" s="366"/>
      <c r="J97" s="438"/>
      <c r="K97" s="438"/>
    </row>
    <row r="98" spans="1:11" s="439" customFormat="1" ht="14.25" customHeight="1">
      <c r="A98" s="435"/>
      <c r="B98" s="440">
        <v>75601</v>
      </c>
      <c r="C98" s="481"/>
      <c r="D98" s="398" t="s">
        <v>55</v>
      </c>
      <c r="E98" s="370">
        <f>SUM(E99)+E100</f>
        <v>120000</v>
      </c>
      <c r="F98" s="357">
        <f>SUM(F99)+F100</f>
        <v>100097.05</v>
      </c>
      <c r="G98" s="357">
        <f>SUM(G99)+G100</f>
        <v>100097.05</v>
      </c>
      <c r="H98" s="357">
        <f>SUM(H99)+H100</f>
        <v>0</v>
      </c>
      <c r="I98" s="52">
        <f>SUM(F98/E98)</f>
        <v>0.8341420833333334</v>
      </c>
      <c r="J98" s="438"/>
      <c r="K98" s="438"/>
    </row>
    <row r="99" spans="1:15" s="439" customFormat="1" ht="27.75" customHeight="1">
      <c r="A99" s="435"/>
      <c r="B99" s="440"/>
      <c r="C99" s="510" t="s">
        <v>56</v>
      </c>
      <c r="D99" s="464" t="s">
        <v>57</v>
      </c>
      <c r="E99" s="370">
        <v>120000</v>
      </c>
      <c r="F99" s="357">
        <f>SUM(G99:H99)</f>
        <v>99268.74</v>
      </c>
      <c r="G99" s="511">
        <v>99268.74</v>
      </c>
      <c r="H99" s="540"/>
      <c r="I99" s="466">
        <f>SUM(F99/E99)</f>
        <v>0.8272395</v>
      </c>
      <c r="J99" s="512"/>
      <c r="K99" s="512"/>
      <c r="L99" s="415"/>
      <c r="M99" s="415"/>
      <c r="N99" s="415"/>
      <c r="O99" s="415"/>
    </row>
    <row r="100" spans="1:15" s="439" customFormat="1" ht="25.5" customHeight="1">
      <c r="A100" s="435"/>
      <c r="B100" s="437"/>
      <c r="C100" s="510" t="s">
        <v>73</v>
      </c>
      <c r="D100" s="464" t="s">
        <v>74</v>
      </c>
      <c r="E100" s="370">
        <v>0</v>
      </c>
      <c r="F100" s="505">
        <f>SUM(G100:H100)</f>
        <v>828.31</v>
      </c>
      <c r="G100" s="511">
        <v>828.31</v>
      </c>
      <c r="H100" s="511"/>
      <c r="I100" s="52"/>
      <c r="J100" s="512"/>
      <c r="K100" s="513"/>
      <c r="L100" s="415"/>
      <c r="M100" s="415"/>
      <c r="N100" s="415"/>
      <c r="O100" s="415"/>
    </row>
    <row r="101" spans="1:15" s="439" customFormat="1" ht="14.25" customHeight="1">
      <c r="A101" s="435"/>
      <c r="B101" s="440">
        <v>75615</v>
      </c>
      <c r="C101" s="467"/>
      <c r="D101" s="446" t="s">
        <v>58</v>
      </c>
      <c r="E101" s="397"/>
      <c r="F101" s="396"/>
      <c r="G101" s="380"/>
      <c r="H101" s="379"/>
      <c r="I101" s="371"/>
      <c r="J101" s="512"/>
      <c r="K101" s="513"/>
      <c r="L101" s="415"/>
      <c r="M101" s="415"/>
      <c r="N101" s="415"/>
      <c r="O101" s="415"/>
    </row>
    <row r="102" spans="1:15" s="439" customFormat="1" ht="14.25" customHeight="1">
      <c r="A102" s="435"/>
      <c r="B102" s="440"/>
      <c r="C102" s="467"/>
      <c r="D102" s="446" t="s">
        <v>59</v>
      </c>
      <c r="E102" s="397"/>
      <c r="F102" s="396"/>
      <c r="G102" s="380"/>
      <c r="H102" s="379"/>
      <c r="I102" s="371"/>
      <c r="J102" s="512"/>
      <c r="K102" s="513"/>
      <c r="L102" s="415"/>
      <c r="M102" s="415"/>
      <c r="N102" s="415"/>
      <c r="O102" s="415"/>
    </row>
    <row r="103" spans="1:15" s="439" customFormat="1" ht="14.25" customHeight="1">
      <c r="A103" s="435"/>
      <c r="B103" s="440"/>
      <c r="C103" s="449"/>
      <c r="D103" s="398" t="s">
        <v>60</v>
      </c>
      <c r="E103" s="370">
        <f>E104+E105+E106+E107+E108+E109+E110+E111+E112</f>
        <v>34089157</v>
      </c>
      <c r="F103" s="357">
        <f>F104+F105+F106+F107+F108+F109+F110+F111+F112</f>
        <v>17480085.750000004</v>
      </c>
      <c r="G103" s="357">
        <f>G104+G105+G106+G107+G108+G109+G110+G111+G112</f>
        <v>17480085.750000004</v>
      </c>
      <c r="H103" s="357">
        <f>H104+H105+H106+H107+H108+H109+H110+H111+H112</f>
        <v>0</v>
      </c>
      <c r="I103" s="52">
        <f aca="true" t="shared" si="2" ref="I103:I112">SUM(F103/E103)</f>
        <v>0.5127755359277439</v>
      </c>
      <c r="J103" s="512"/>
      <c r="K103" s="513"/>
      <c r="L103" s="415"/>
      <c r="M103" s="415"/>
      <c r="N103" s="415"/>
      <c r="O103" s="415"/>
    </row>
    <row r="104" spans="1:15" s="439" customFormat="1" ht="25.5" customHeight="1">
      <c r="A104" s="435"/>
      <c r="B104" s="440"/>
      <c r="C104" s="444" t="s">
        <v>61</v>
      </c>
      <c r="D104" s="469" t="s">
        <v>62</v>
      </c>
      <c r="E104" s="442">
        <v>33400000</v>
      </c>
      <c r="F104" s="445">
        <f aca="true" t="shared" si="3" ref="F104:F112">SUM(G104:H104)</f>
        <v>16927632.12</v>
      </c>
      <c r="G104" s="380">
        <v>16927632.12</v>
      </c>
      <c r="H104" s="379"/>
      <c r="I104" s="52">
        <f t="shared" si="2"/>
        <v>0.5068153329341317</v>
      </c>
      <c r="J104" s="512"/>
      <c r="K104" s="513"/>
      <c r="L104" s="415"/>
      <c r="M104" s="415"/>
      <c r="N104" s="415"/>
      <c r="O104" s="415"/>
    </row>
    <row r="105" spans="1:15" s="439" customFormat="1" ht="25.5" customHeight="1">
      <c r="A105" s="435"/>
      <c r="B105" s="440"/>
      <c r="C105" s="449" t="s">
        <v>63</v>
      </c>
      <c r="D105" s="464" t="s">
        <v>64</v>
      </c>
      <c r="E105" s="442">
        <v>45979</v>
      </c>
      <c r="F105" s="445">
        <f t="shared" si="3"/>
        <v>40623.85</v>
      </c>
      <c r="G105" s="54">
        <v>40623.85</v>
      </c>
      <c r="H105" s="51"/>
      <c r="I105" s="52">
        <f t="shared" si="2"/>
        <v>0.8835305248048022</v>
      </c>
      <c r="J105" s="512"/>
      <c r="K105" s="513"/>
      <c r="L105" s="415"/>
      <c r="M105" s="415"/>
      <c r="N105" s="415"/>
      <c r="O105" s="415"/>
    </row>
    <row r="106" spans="1:15" s="439" customFormat="1" ht="25.5" customHeight="1">
      <c r="A106" s="435"/>
      <c r="B106" s="440"/>
      <c r="C106" s="444" t="s">
        <v>65</v>
      </c>
      <c r="D106" s="469" t="s">
        <v>66</v>
      </c>
      <c r="E106" s="442">
        <v>197887</v>
      </c>
      <c r="F106" s="445">
        <f t="shared" si="3"/>
        <v>153104</v>
      </c>
      <c r="G106" s="511">
        <v>153104</v>
      </c>
      <c r="H106" s="540"/>
      <c r="I106" s="52">
        <f t="shared" si="2"/>
        <v>0.773694077933366</v>
      </c>
      <c r="J106" s="512"/>
      <c r="K106" s="513"/>
      <c r="L106" s="415"/>
      <c r="M106" s="415"/>
      <c r="N106" s="415"/>
      <c r="O106" s="415"/>
    </row>
    <row r="107" spans="1:15" s="439" customFormat="1" ht="25.5" customHeight="1">
      <c r="A107" s="435"/>
      <c r="B107" s="440"/>
      <c r="C107" s="444" t="s">
        <v>67</v>
      </c>
      <c r="D107" s="469" t="s">
        <v>68</v>
      </c>
      <c r="E107" s="442">
        <v>166000</v>
      </c>
      <c r="F107" s="445">
        <f t="shared" si="3"/>
        <v>189979.23</v>
      </c>
      <c r="G107" s="54">
        <v>189979.23</v>
      </c>
      <c r="H107" s="51"/>
      <c r="I107" s="52">
        <f t="shared" si="2"/>
        <v>1.1444531927710844</v>
      </c>
      <c r="J107" s="512"/>
      <c r="K107" s="513"/>
      <c r="L107" s="415"/>
      <c r="M107" s="415"/>
      <c r="N107" s="415"/>
      <c r="O107" s="415"/>
    </row>
    <row r="108" spans="1:15" s="439" customFormat="1" ht="25.5" customHeight="1">
      <c r="A108" s="435"/>
      <c r="B108" s="440"/>
      <c r="C108" s="444" t="s">
        <v>69</v>
      </c>
      <c r="D108" s="469" t="s">
        <v>70</v>
      </c>
      <c r="E108" s="442">
        <v>23946</v>
      </c>
      <c r="F108" s="445">
        <f t="shared" si="3"/>
        <v>11118</v>
      </c>
      <c r="G108" s="54">
        <v>11118</v>
      </c>
      <c r="H108" s="54"/>
      <c r="I108" s="52">
        <f t="shared" si="2"/>
        <v>0.4642946629917314</v>
      </c>
      <c r="J108" s="512"/>
      <c r="K108" s="513"/>
      <c r="L108" s="415"/>
      <c r="M108" s="415"/>
      <c r="N108" s="415"/>
      <c r="O108" s="415"/>
    </row>
    <row r="109" spans="1:15" s="439" customFormat="1" ht="25.5" customHeight="1">
      <c r="A109" s="435"/>
      <c r="B109" s="440"/>
      <c r="C109" s="444" t="s">
        <v>71</v>
      </c>
      <c r="D109" s="469" t="s">
        <v>72</v>
      </c>
      <c r="E109" s="442">
        <v>1300</v>
      </c>
      <c r="F109" s="445">
        <f t="shared" si="3"/>
        <v>1264.12</v>
      </c>
      <c r="G109" s="54">
        <v>1264.12</v>
      </c>
      <c r="H109" s="51"/>
      <c r="I109" s="52">
        <f t="shared" si="2"/>
        <v>0.9723999999999999</v>
      </c>
      <c r="J109" s="512"/>
      <c r="K109" s="514"/>
      <c r="L109" s="415"/>
      <c r="M109" s="415"/>
      <c r="N109" s="415"/>
      <c r="O109" s="415"/>
    </row>
    <row r="110" spans="1:15" s="439" customFormat="1" ht="25.5" customHeight="1">
      <c r="A110" s="435"/>
      <c r="B110" s="440"/>
      <c r="C110" s="444" t="s">
        <v>73</v>
      </c>
      <c r="D110" s="469" t="s">
        <v>74</v>
      </c>
      <c r="E110" s="442">
        <v>252000</v>
      </c>
      <c r="F110" s="445">
        <f t="shared" si="3"/>
        <v>154835.43</v>
      </c>
      <c r="G110" s="511">
        <v>154835.43</v>
      </c>
      <c r="H110" s="540"/>
      <c r="I110" s="52">
        <f t="shared" si="2"/>
        <v>0.6144263095238095</v>
      </c>
      <c r="J110" s="512"/>
      <c r="K110" s="513"/>
      <c r="L110" s="415"/>
      <c r="M110" s="415"/>
      <c r="N110" s="415"/>
      <c r="O110" s="415"/>
    </row>
    <row r="111" spans="1:15" s="439" customFormat="1" ht="25.5" customHeight="1">
      <c r="A111" s="435"/>
      <c r="B111" s="440"/>
      <c r="C111" s="444" t="s">
        <v>41</v>
      </c>
      <c r="D111" s="469" t="s">
        <v>42</v>
      </c>
      <c r="E111" s="442">
        <v>1000</v>
      </c>
      <c r="F111" s="445">
        <f t="shared" si="3"/>
        <v>484</v>
      </c>
      <c r="G111" s="54">
        <v>484</v>
      </c>
      <c r="H111" s="51"/>
      <c r="I111" s="52">
        <f t="shared" si="2"/>
        <v>0.484</v>
      </c>
      <c r="J111" s="512"/>
      <c r="K111" s="513"/>
      <c r="L111" s="415"/>
      <c r="M111" s="415"/>
      <c r="N111" s="415"/>
      <c r="O111" s="415"/>
    </row>
    <row r="112" spans="1:15" s="439" customFormat="1" ht="25.5" customHeight="1">
      <c r="A112" s="486"/>
      <c r="B112" s="437"/>
      <c r="C112" s="449" t="s">
        <v>75</v>
      </c>
      <c r="D112" s="464" t="s">
        <v>76</v>
      </c>
      <c r="E112" s="442">
        <v>1045</v>
      </c>
      <c r="F112" s="445">
        <f t="shared" si="3"/>
        <v>1045</v>
      </c>
      <c r="G112" s="511">
        <v>1045</v>
      </c>
      <c r="H112" s="540"/>
      <c r="I112" s="466">
        <f t="shared" si="2"/>
        <v>1</v>
      </c>
      <c r="J112" s="512"/>
      <c r="K112" s="513"/>
      <c r="L112" s="415"/>
      <c r="M112" s="415"/>
      <c r="N112" s="415"/>
      <c r="O112" s="415"/>
    </row>
    <row r="113" spans="1:11" s="355" customFormat="1" ht="14.25" customHeight="1">
      <c r="A113" s="490">
        <v>1</v>
      </c>
      <c r="B113" s="491">
        <v>2</v>
      </c>
      <c r="C113" s="491">
        <v>3</v>
      </c>
      <c r="D113" s="491">
        <v>4</v>
      </c>
      <c r="E113" s="492">
        <v>5</v>
      </c>
      <c r="F113" s="494">
        <v>6</v>
      </c>
      <c r="G113" s="493">
        <v>7</v>
      </c>
      <c r="H113" s="494">
        <v>8</v>
      </c>
      <c r="I113" s="495">
        <v>9</v>
      </c>
      <c r="J113" s="354"/>
      <c r="K113" s="354"/>
    </row>
    <row r="114" spans="1:15" s="439" customFormat="1" ht="14.25" customHeight="1">
      <c r="A114" s="435"/>
      <c r="B114" s="440">
        <v>75616</v>
      </c>
      <c r="C114" s="467"/>
      <c r="D114" s="446" t="s">
        <v>77</v>
      </c>
      <c r="E114" s="397"/>
      <c r="F114" s="396"/>
      <c r="G114" s="380"/>
      <c r="H114" s="379"/>
      <c r="I114" s="371"/>
      <c r="J114" s="512"/>
      <c r="K114" s="513"/>
      <c r="L114" s="415"/>
      <c r="M114" s="415"/>
      <c r="N114" s="415"/>
      <c r="O114" s="415"/>
    </row>
    <row r="115" spans="1:15" s="439" customFormat="1" ht="14.25" customHeight="1">
      <c r="A115" s="435"/>
      <c r="B115" s="440"/>
      <c r="C115" s="467"/>
      <c r="D115" s="446" t="s">
        <v>78</v>
      </c>
      <c r="E115" s="397"/>
      <c r="F115" s="396"/>
      <c r="G115" s="380"/>
      <c r="H115" s="379"/>
      <c r="I115" s="371"/>
      <c r="J115" s="512"/>
      <c r="K115" s="513"/>
      <c r="L115" s="415"/>
      <c r="M115" s="415"/>
      <c r="N115" s="415"/>
      <c r="O115" s="415"/>
    </row>
    <row r="116" spans="1:15" s="439" customFormat="1" ht="12.75">
      <c r="A116" s="435"/>
      <c r="B116" s="440"/>
      <c r="C116" s="449"/>
      <c r="D116" s="398" t="s">
        <v>79</v>
      </c>
      <c r="E116" s="370">
        <f>SUM(E117:E118,E119:E128)</f>
        <v>4863612</v>
      </c>
      <c r="F116" s="357">
        <f>SUM(F117:F128)</f>
        <v>3991475.3300000005</v>
      </c>
      <c r="G116" s="357">
        <f>SUM(G117:G118,G119:G128)</f>
        <v>3991475.3300000005</v>
      </c>
      <c r="H116" s="357">
        <f>SUM(H117:H118,H119:H128)</f>
        <v>0</v>
      </c>
      <c r="I116" s="52">
        <f aca="true" t="shared" si="4" ref="I116:I128">SUM(F116/E116)</f>
        <v>0.8206812817305329</v>
      </c>
      <c r="J116" s="512"/>
      <c r="K116" s="513"/>
      <c r="L116" s="415"/>
      <c r="M116" s="415"/>
      <c r="N116" s="415"/>
      <c r="O116" s="415"/>
    </row>
    <row r="117" spans="1:15" s="439" customFormat="1" ht="25.5" customHeight="1">
      <c r="A117" s="435"/>
      <c r="B117" s="440"/>
      <c r="C117" s="444" t="s">
        <v>61</v>
      </c>
      <c r="D117" s="469" t="s">
        <v>62</v>
      </c>
      <c r="E117" s="442">
        <v>2820000</v>
      </c>
      <c r="F117" s="445">
        <f aca="true" t="shared" si="5" ref="F117:F128">SUM(G117:H117)</f>
        <v>2181646.6</v>
      </c>
      <c r="G117" s="383">
        <v>2181646.6</v>
      </c>
      <c r="H117" s="382"/>
      <c r="I117" s="466">
        <f t="shared" si="4"/>
        <v>0.7736335460992908</v>
      </c>
      <c r="J117" s="512"/>
      <c r="K117" s="513"/>
      <c r="L117" s="415"/>
      <c r="M117" s="415"/>
      <c r="N117" s="415"/>
      <c r="O117" s="415"/>
    </row>
    <row r="118" spans="1:15" s="439" customFormat="1" ht="25.5" customHeight="1">
      <c r="A118" s="435"/>
      <c r="B118" s="440"/>
      <c r="C118" s="444" t="s">
        <v>63</v>
      </c>
      <c r="D118" s="469" t="s">
        <v>64</v>
      </c>
      <c r="E118" s="442">
        <v>221652</v>
      </c>
      <c r="F118" s="445">
        <f t="shared" si="5"/>
        <v>177809.03</v>
      </c>
      <c r="G118" s="54">
        <v>177809.03</v>
      </c>
      <c r="H118" s="51"/>
      <c r="I118" s="52">
        <f t="shared" si="4"/>
        <v>0.8021990778337214</v>
      </c>
      <c r="J118" s="512"/>
      <c r="K118" s="513"/>
      <c r="L118" s="415"/>
      <c r="M118" s="415"/>
      <c r="N118" s="415"/>
      <c r="O118" s="415"/>
    </row>
    <row r="119" spans="1:15" s="439" customFormat="1" ht="25.5" customHeight="1">
      <c r="A119" s="435"/>
      <c r="B119" s="440"/>
      <c r="C119" s="449" t="s">
        <v>65</v>
      </c>
      <c r="D119" s="464" t="s">
        <v>66</v>
      </c>
      <c r="E119" s="370">
        <v>860</v>
      </c>
      <c r="F119" s="505">
        <f t="shared" si="5"/>
        <v>574.67</v>
      </c>
      <c r="G119" s="380">
        <v>574.67</v>
      </c>
      <c r="H119" s="379"/>
      <c r="I119" s="52">
        <f t="shared" si="4"/>
        <v>0.6682209302325581</v>
      </c>
      <c r="J119" s="514"/>
      <c r="K119" s="514"/>
      <c r="L119" s="415"/>
      <c r="M119" s="415"/>
      <c r="N119" s="415"/>
      <c r="O119" s="415"/>
    </row>
    <row r="120" spans="1:15" s="439" customFormat="1" ht="25.5" customHeight="1">
      <c r="A120" s="435"/>
      <c r="B120" s="440"/>
      <c r="C120" s="444" t="s">
        <v>67</v>
      </c>
      <c r="D120" s="469" t="s">
        <v>68</v>
      </c>
      <c r="E120" s="442">
        <v>150000</v>
      </c>
      <c r="F120" s="445">
        <f t="shared" si="5"/>
        <v>118297.29</v>
      </c>
      <c r="G120" s="54">
        <v>118297.29</v>
      </c>
      <c r="H120" s="51"/>
      <c r="I120" s="52">
        <f t="shared" si="4"/>
        <v>0.7886485999999999</v>
      </c>
      <c r="J120" s="514"/>
      <c r="K120" s="514"/>
      <c r="L120" s="415"/>
      <c r="M120" s="415"/>
      <c r="N120" s="415"/>
      <c r="O120" s="415"/>
    </row>
    <row r="121" spans="1:15" s="439" customFormat="1" ht="25.5" customHeight="1">
      <c r="A121" s="435"/>
      <c r="B121" s="440"/>
      <c r="C121" s="444" t="s">
        <v>80</v>
      </c>
      <c r="D121" s="50" t="s">
        <v>81</v>
      </c>
      <c r="E121" s="442">
        <v>100000</v>
      </c>
      <c r="F121" s="445">
        <f t="shared" si="5"/>
        <v>83723.14</v>
      </c>
      <c r="G121" s="380">
        <v>83723.14</v>
      </c>
      <c r="H121" s="379"/>
      <c r="I121" s="52">
        <f t="shared" si="4"/>
        <v>0.8372314</v>
      </c>
      <c r="J121" s="514"/>
      <c r="K121" s="514"/>
      <c r="L121" s="415"/>
      <c r="M121" s="415"/>
      <c r="N121" s="415"/>
      <c r="O121" s="415"/>
    </row>
    <row r="122" spans="1:15" s="439" customFormat="1" ht="25.5" customHeight="1">
      <c r="A122" s="435"/>
      <c r="B122" s="440"/>
      <c r="C122" s="444" t="s">
        <v>82</v>
      </c>
      <c r="D122" s="469" t="s">
        <v>83</v>
      </c>
      <c r="E122" s="442">
        <v>64000</v>
      </c>
      <c r="F122" s="445">
        <f t="shared" si="5"/>
        <v>64556.6</v>
      </c>
      <c r="G122" s="54">
        <v>64556.6</v>
      </c>
      <c r="H122" s="51"/>
      <c r="I122" s="52">
        <f t="shared" si="4"/>
        <v>1.008696875</v>
      </c>
      <c r="J122" s="512"/>
      <c r="K122" s="513"/>
      <c r="L122" s="415"/>
      <c r="M122" s="415"/>
      <c r="N122" s="415"/>
      <c r="O122" s="415"/>
    </row>
    <row r="123" spans="1:15" s="439" customFormat="1" ht="25.5" customHeight="1">
      <c r="A123" s="435"/>
      <c r="B123" s="440"/>
      <c r="C123" s="444" t="s">
        <v>84</v>
      </c>
      <c r="D123" s="50" t="s">
        <v>85</v>
      </c>
      <c r="E123" s="442">
        <v>168000</v>
      </c>
      <c r="F123" s="505">
        <f t="shared" si="5"/>
        <v>108784</v>
      </c>
      <c r="G123" s="380">
        <v>108784</v>
      </c>
      <c r="H123" s="379"/>
      <c r="I123" s="52">
        <f t="shared" si="4"/>
        <v>0.6475238095238095</v>
      </c>
      <c r="J123" s="514"/>
      <c r="K123" s="514"/>
      <c r="L123" s="415"/>
      <c r="M123" s="415"/>
      <c r="N123" s="415"/>
      <c r="O123" s="415"/>
    </row>
    <row r="124" spans="1:15" s="439" customFormat="1" ht="25.5" customHeight="1">
      <c r="A124" s="435"/>
      <c r="B124" s="440"/>
      <c r="C124" s="444" t="s">
        <v>69</v>
      </c>
      <c r="D124" s="469" t="s">
        <v>70</v>
      </c>
      <c r="E124" s="442">
        <v>1279000</v>
      </c>
      <c r="F124" s="445">
        <f t="shared" si="5"/>
        <v>1208634.53</v>
      </c>
      <c r="G124" s="54">
        <v>1208634.53</v>
      </c>
      <c r="H124" s="51"/>
      <c r="I124" s="52">
        <f t="shared" si="4"/>
        <v>0.944983995308835</v>
      </c>
      <c r="J124" s="514"/>
      <c r="K124" s="514"/>
      <c r="L124" s="415"/>
      <c r="M124" s="415"/>
      <c r="N124" s="415"/>
      <c r="O124" s="415"/>
    </row>
    <row r="125" spans="1:15" s="439" customFormat="1" ht="25.5" customHeight="1">
      <c r="A125" s="435"/>
      <c r="B125" s="440"/>
      <c r="C125" s="444" t="s">
        <v>86</v>
      </c>
      <c r="D125" s="469" t="s">
        <v>87</v>
      </c>
      <c r="E125" s="442">
        <v>2000</v>
      </c>
      <c r="F125" s="445">
        <f t="shared" si="5"/>
        <v>758.73</v>
      </c>
      <c r="G125" s="380">
        <v>758.73</v>
      </c>
      <c r="H125" s="379"/>
      <c r="I125" s="52">
        <f t="shared" si="4"/>
        <v>0.379365</v>
      </c>
      <c r="J125" s="514"/>
      <c r="K125" s="514"/>
      <c r="L125" s="415"/>
      <c r="M125" s="415"/>
      <c r="N125" s="415"/>
      <c r="O125" s="415"/>
    </row>
    <row r="126" spans="1:15" s="439" customFormat="1" ht="25.5" customHeight="1">
      <c r="A126" s="435"/>
      <c r="B126" s="440"/>
      <c r="C126" s="444" t="s">
        <v>71</v>
      </c>
      <c r="D126" s="469" t="s">
        <v>72</v>
      </c>
      <c r="E126" s="442">
        <v>15500</v>
      </c>
      <c r="F126" s="445">
        <f t="shared" si="5"/>
        <v>11823.13</v>
      </c>
      <c r="G126" s="54">
        <v>11823.13</v>
      </c>
      <c r="H126" s="51"/>
      <c r="I126" s="52">
        <f t="shared" si="4"/>
        <v>0.7627825806451612</v>
      </c>
      <c r="J126" s="514"/>
      <c r="K126" s="514"/>
      <c r="L126" s="415"/>
      <c r="M126" s="415"/>
      <c r="N126" s="415"/>
      <c r="O126" s="415"/>
    </row>
    <row r="127" spans="1:15" s="439" customFormat="1" ht="25.5" customHeight="1">
      <c r="A127" s="435"/>
      <c r="B127" s="440"/>
      <c r="C127" s="444" t="s">
        <v>73</v>
      </c>
      <c r="D127" s="469" t="s">
        <v>74</v>
      </c>
      <c r="E127" s="442">
        <v>40000</v>
      </c>
      <c r="F127" s="445">
        <f t="shared" si="5"/>
        <v>33942.41</v>
      </c>
      <c r="G127" s="380">
        <v>33942.41</v>
      </c>
      <c r="H127" s="379"/>
      <c r="I127" s="52">
        <f t="shared" si="4"/>
        <v>0.8485602500000001</v>
      </c>
      <c r="J127" s="514"/>
      <c r="K127" s="514"/>
      <c r="L127" s="415"/>
      <c r="M127" s="415"/>
      <c r="N127" s="415"/>
      <c r="O127" s="415"/>
    </row>
    <row r="128" spans="1:15" s="439" customFormat="1" ht="25.5" customHeight="1">
      <c r="A128" s="470"/>
      <c r="B128" s="481"/>
      <c r="C128" s="449" t="s">
        <v>41</v>
      </c>
      <c r="D128" s="469" t="s">
        <v>42</v>
      </c>
      <c r="E128" s="442">
        <v>2600</v>
      </c>
      <c r="F128" s="445">
        <f t="shared" si="5"/>
        <v>925.2</v>
      </c>
      <c r="G128" s="54">
        <v>925.2</v>
      </c>
      <c r="H128" s="51"/>
      <c r="I128" s="52">
        <f t="shared" si="4"/>
        <v>0.35584615384615387</v>
      </c>
      <c r="J128" s="514"/>
      <c r="K128" s="514"/>
      <c r="L128" s="415"/>
      <c r="M128" s="415"/>
      <c r="N128" s="415"/>
      <c r="O128" s="415"/>
    </row>
    <row r="129" spans="1:15" s="439" customFormat="1" ht="14.25" customHeight="1">
      <c r="A129" s="435"/>
      <c r="B129" s="440">
        <v>75618</v>
      </c>
      <c r="C129" s="467"/>
      <c r="D129" s="446" t="s">
        <v>88</v>
      </c>
      <c r="E129" s="397"/>
      <c r="F129" s="396"/>
      <c r="G129" s="380"/>
      <c r="H129" s="379"/>
      <c r="I129" s="371"/>
      <c r="J129" s="514"/>
      <c r="K129" s="514"/>
      <c r="L129" s="415"/>
      <c r="M129" s="415"/>
      <c r="N129" s="415"/>
      <c r="O129" s="415"/>
    </row>
    <row r="130" spans="1:15" s="439" customFormat="1" ht="14.25" customHeight="1">
      <c r="A130" s="435"/>
      <c r="B130" s="440"/>
      <c r="C130" s="449"/>
      <c r="D130" s="398" t="s">
        <v>89</v>
      </c>
      <c r="E130" s="370">
        <f>E131+E132+E133+E134+E135+E136+E137+E138+E139</f>
        <v>1109598</v>
      </c>
      <c r="F130" s="357">
        <f>F131+F132+F133+F134+F135+F136+F137+F138+F139</f>
        <v>1080877.42</v>
      </c>
      <c r="G130" s="357">
        <f>G131+G132+G133+G134+G135+G136+G137+G138+G139</f>
        <v>1080877.42</v>
      </c>
      <c r="H130" s="357">
        <f>H131+H132+H133+H134+H135+H136+H137+H138+H139</f>
        <v>0</v>
      </c>
      <c r="I130" s="52">
        <f aca="true" t="shared" si="6" ref="I130:I139">SUM(F130/E130)</f>
        <v>0.9741162294813076</v>
      </c>
      <c r="J130" s="514"/>
      <c r="K130" s="514"/>
      <c r="L130" s="415"/>
      <c r="M130" s="415"/>
      <c r="N130" s="415"/>
      <c r="O130" s="415"/>
    </row>
    <row r="131" spans="1:15" s="439" customFormat="1" ht="25.5" customHeight="1">
      <c r="A131" s="435"/>
      <c r="B131" s="440"/>
      <c r="C131" s="444" t="s">
        <v>90</v>
      </c>
      <c r="D131" s="50" t="s">
        <v>91</v>
      </c>
      <c r="E131" s="442">
        <v>340000</v>
      </c>
      <c r="F131" s="443">
        <f aca="true" t="shared" si="7" ref="F131:F139">SUM(G131:H131)</f>
        <v>300983.02</v>
      </c>
      <c r="G131" s="54">
        <v>300983.02</v>
      </c>
      <c r="H131" s="51"/>
      <c r="I131" s="52">
        <f t="shared" si="6"/>
        <v>0.8852441764705883</v>
      </c>
      <c r="J131" s="514"/>
      <c r="K131" s="514"/>
      <c r="L131" s="415"/>
      <c r="M131" s="415"/>
      <c r="N131" s="415"/>
      <c r="O131" s="415"/>
    </row>
    <row r="132" spans="1:15" s="439" customFormat="1" ht="25.5" customHeight="1">
      <c r="A132" s="435"/>
      <c r="B132" s="440"/>
      <c r="C132" s="444" t="s">
        <v>92</v>
      </c>
      <c r="D132" s="50" t="s">
        <v>93</v>
      </c>
      <c r="E132" s="442">
        <v>2000</v>
      </c>
      <c r="F132" s="443">
        <f t="shared" si="7"/>
        <v>4593.25</v>
      </c>
      <c r="G132" s="380">
        <v>4593.25</v>
      </c>
      <c r="H132" s="379"/>
      <c r="I132" s="52">
        <f t="shared" si="6"/>
        <v>2.296625</v>
      </c>
      <c r="J132" s="514"/>
      <c r="K132" s="514"/>
      <c r="L132" s="415"/>
      <c r="M132" s="415"/>
      <c r="N132" s="415"/>
      <c r="O132" s="415"/>
    </row>
    <row r="133" spans="1:15" s="439" customFormat="1" ht="25.5" customHeight="1">
      <c r="A133" s="435"/>
      <c r="B133" s="440"/>
      <c r="C133" s="444" t="s">
        <v>94</v>
      </c>
      <c r="D133" s="50" t="s">
        <v>95</v>
      </c>
      <c r="E133" s="442">
        <v>709798</v>
      </c>
      <c r="F133" s="443">
        <f t="shared" si="7"/>
        <v>721331.16</v>
      </c>
      <c r="G133" s="54">
        <v>721331.16</v>
      </c>
      <c r="H133" s="51"/>
      <c r="I133" s="52">
        <f t="shared" si="6"/>
        <v>1.0162485101395045</v>
      </c>
      <c r="J133" s="514"/>
      <c r="K133" s="514"/>
      <c r="L133" s="415"/>
      <c r="M133" s="415"/>
      <c r="N133" s="415"/>
      <c r="O133" s="415"/>
    </row>
    <row r="134" spans="1:15" s="439" customFormat="1" ht="30" customHeight="1">
      <c r="A134" s="435"/>
      <c r="B134" s="440"/>
      <c r="C134" s="444" t="s">
        <v>96</v>
      </c>
      <c r="D134" s="469" t="s">
        <v>97</v>
      </c>
      <c r="E134" s="442">
        <v>35000</v>
      </c>
      <c r="F134" s="443">
        <f t="shared" si="7"/>
        <v>37783.76</v>
      </c>
      <c r="G134" s="54">
        <v>37783.76</v>
      </c>
      <c r="H134" s="51"/>
      <c r="I134" s="52">
        <f t="shared" si="6"/>
        <v>1.079536</v>
      </c>
      <c r="J134" s="514"/>
      <c r="K134" s="514"/>
      <c r="L134" s="415"/>
      <c r="M134" s="415"/>
      <c r="N134" s="415"/>
      <c r="O134" s="415"/>
    </row>
    <row r="135" spans="1:15" s="439" customFormat="1" ht="25.5" customHeight="1">
      <c r="A135" s="435"/>
      <c r="B135" s="440"/>
      <c r="C135" s="444" t="s">
        <v>98</v>
      </c>
      <c r="D135" s="50" t="s">
        <v>99</v>
      </c>
      <c r="E135" s="442">
        <v>1300</v>
      </c>
      <c r="F135" s="443">
        <f t="shared" si="7"/>
        <v>740</v>
      </c>
      <c r="G135" s="380">
        <v>740</v>
      </c>
      <c r="H135" s="379"/>
      <c r="I135" s="52">
        <f t="shared" si="6"/>
        <v>0.5692307692307692</v>
      </c>
      <c r="J135" s="514"/>
      <c r="K135" s="514"/>
      <c r="L135" s="415"/>
      <c r="M135" s="415"/>
      <c r="N135" s="415"/>
      <c r="O135" s="415"/>
    </row>
    <row r="136" spans="1:11" s="439" customFormat="1" ht="25.5" customHeight="1">
      <c r="A136" s="435"/>
      <c r="B136" s="440"/>
      <c r="C136" s="444" t="s">
        <v>71</v>
      </c>
      <c r="D136" s="469" t="s">
        <v>72</v>
      </c>
      <c r="E136" s="442">
        <v>21000</v>
      </c>
      <c r="F136" s="443">
        <f t="shared" si="7"/>
        <v>15355.98</v>
      </c>
      <c r="G136" s="54">
        <v>15355.98</v>
      </c>
      <c r="H136" s="51"/>
      <c r="I136" s="52">
        <f t="shared" si="6"/>
        <v>0.7312371428571428</v>
      </c>
      <c r="J136" s="438"/>
      <c r="K136" s="438"/>
    </row>
    <row r="137" spans="1:11" s="439" customFormat="1" ht="25.5" customHeight="1">
      <c r="A137" s="435"/>
      <c r="B137" s="440"/>
      <c r="C137" s="468" t="s">
        <v>73</v>
      </c>
      <c r="D137" s="469" t="s">
        <v>74</v>
      </c>
      <c r="E137" s="370">
        <v>0</v>
      </c>
      <c r="F137" s="443">
        <f t="shared" si="7"/>
        <v>17.75</v>
      </c>
      <c r="G137" s="54">
        <v>17.75</v>
      </c>
      <c r="H137" s="51"/>
      <c r="I137" s="52"/>
      <c r="J137" s="438"/>
      <c r="K137" s="438"/>
    </row>
    <row r="138" spans="1:11" s="439" customFormat="1" ht="25.5" customHeight="1">
      <c r="A138" s="435"/>
      <c r="B138" s="440"/>
      <c r="C138" s="515" t="s">
        <v>39</v>
      </c>
      <c r="D138" s="469" t="s">
        <v>40</v>
      </c>
      <c r="E138" s="370">
        <v>0</v>
      </c>
      <c r="F138" s="357">
        <f>SUM(G138:H138)</f>
        <v>72.5</v>
      </c>
      <c r="G138" s="54">
        <v>72.5</v>
      </c>
      <c r="H138" s="51"/>
      <c r="I138" s="466"/>
      <c r="J138" s="438"/>
      <c r="K138" s="438"/>
    </row>
    <row r="139" spans="1:11" s="439" customFormat="1" ht="25.5" customHeight="1">
      <c r="A139" s="435"/>
      <c r="B139" s="437"/>
      <c r="C139" s="449" t="s">
        <v>41</v>
      </c>
      <c r="D139" s="469" t="s">
        <v>42</v>
      </c>
      <c r="E139" s="370">
        <v>500</v>
      </c>
      <c r="F139" s="443">
        <f t="shared" si="7"/>
        <v>0</v>
      </c>
      <c r="G139" s="54">
        <v>0</v>
      </c>
      <c r="H139" s="51"/>
      <c r="I139" s="52">
        <f t="shared" si="6"/>
        <v>0</v>
      </c>
      <c r="J139" s="438"/>
      <c r="K139" s="438"/>
    </row>
    <row r="140" spans="1:11" s="439" customFormat="1" ht="14.25" customHeight="1">
      <c r="A140" s="435"/>
      <c r="B140" s="440">
        <v>75621</v>
      </c>
      <c r="C140" s="440"/>
      <c r="D140" s="446" t="s">
        <v>100</v>
      </c>
      <c r="E140" s="378"/>
      <c r="F140" s="379"/>
      <c r="G140" s="380"/>
      <c r="H140" s="379"/>
      <c r="I140" s="371"/>
      <c r="J140" s="438"/>
      <c r="K140" s="438"/>
    </row>
    <row r="141" spans="1:11" s="439" customFormat="1" ht="14.25" customHeight="1">
      <c r="A141" s="435"/>
      <c r="B141" s="440"/>
      <c r="C141" s="437"/>
      <c r="D141" s="398" t="s">
        <v>101</v>
      </c>
      <c r="E141" s="370">
        <f>SUM(E142:E143)</f>
        <v>23317205</v>
      </c>
      <c r="F141" s="357">
        <f>SUM(F142:F143)</f>
        <v>19539026.9</v>
      </c>
      <c r="G141" s="505">
        <f>SUM(G142:G143)</f>
        <v>19539026.9</v>
      </c>
      <c r="H141" s="357">
        <f>SUM(H142:H143)</f>
        <v>0</v>
      </c>
      <c r="I141" s="52">
        <f>SUM(F141/E141)</f>
        <v>0.8379660812691744</v>
      </c>
      <c r="J141" s="438"/>
      <c r="K141" s="438"/>
    </row>
    <row r="142" spans="1:11" s="439" customFormat="1" ht="25.5" customHeight="1">
      <c r="A142" s="435"/>
      <c r="B142" s="440"/>
      <c r="C142" s="463" t="s">
        <v>102</v>
      </c>
      <c r="D142" s="464" t="s">
        <v>103</v>
      </c>
      <c r="E142" s="516">
        <v>22849805</v>
      </c>
      <c r="F142" s="517">
        <f>SUM(G142:H142)</f>
        <v>15406512</v>
      </c>
      <c r="G142" s="54">
        <v>15406512</v>
      </c>
      <c r="H142" s="51"/>
      <c r="I142" s="52">
        <f>SUM(F142/E142)</f>
        <v>0.6742513557555524</v>
      </c>
      <c r="J142" s="438"/>
      <c r="K142" s="438"/>
    </row>
    <row r="143" spans="1:11" s="439" customFormat="1" ht="25.5" customHeight="1">
      <c r="A143" s="486"/>
      <c r="B143" s="437"/>
      <c r="C143" s="468" t="s">
        <v>104</v>
      </c>
      <c r="D143" s="469" t="s">
        <v>105</v>
      </c>
      <c r="E143" s="951">
        <v>467400</v>
      </c>
      <c r="F143" s="952">
        <f>SUM(G143:H143)</f>
        <v>4132514.9</v>
      </c>
      <c r="G143" s="54">
        <v>4132514.9</v>
      </c>
      <c r="H143" s="51"/>
      <c r="I143" s="466">
        <f>SUM(F143/E143)</f>
        <v>8.841495293110826</v>
      </c>
      <c r="J143" s="438"/>
      <c r="K143" s="438"/>
    </row>
    <row r="144" spans="1:11" s="355" customFormat="1" ht="14.25" customHeight="1">
      <c r="A144" s="490">
        <v>1</v>
      </c>
      <c r="B144" s="491">
        <v>2</v>
      </c>
      <c r="C144" s="491">
        <v>3</v>
      </c>
      <c r="D144" s="491">
        <v>4</v>
      </c>
      <c r="E144" s="492">
        <v>5</v>
      </c>
      <c r="F144" s="494">
        <v>6</v>
      </c>
      <c r="G144" s="493">
        <v>7</v>
      </c>
      <c r="H144" s="494">
        <v>8</v>
      </c>
      <c r="I144" s="495">
        <v>9</v>
      </c>
      <c r="J144" s="354"/>
      <c r="K144" s="354"/>
    </row>
    <row r="145" spans="1:11" s="439" customFormat="1" ht="24" customHeight="1">
      <c r="A145" s="435">
        <v>758</v>
      </c>
      <c r="B145" s="436"/>
      <c r="C145" s="437"/>
      <c r="D145" s="398" t="s">
        <v>17</v>
      </c>
      <c r="E145" s="370">
        <f>SUM(E147+E149+E156)+E152</f>
        <v>18647040</v>
      </c>
      <c r="F145" s="357">
        <f>SUM(F147+F149+F156)+F152</f>
        <v>15837759.51</v>
      </c>
      <c r="G145" s="357">
        <f>SUM(G147+G149+G156)+G152</f>
        <v>15837759.51</v>
      </c>
      <c r="H145" s="357">
        <f>SUM(H147+H149+H156)+H152</f>
        <v>0</v>
      </c>
      <c r="I145" s="52">
        <f>SUM(F145/E145)</f>
        <v>0.8493444273192957</v>
      </c>
      <c r="J145" s="438"/>
      <c r="K145" s="438"/>
    </row>
    <row r="146" spans="1:11" s="439" customFormat="1" ht="14.25" customHeight="1">
      <c r="A146" s="435"/>
      <c r="B146" s="440"/>
      <c r="C146" s="440"/>
      <c r="D146" s="446"/>
      <c r="E146" s="397"/>
      <c r="F146" s="396"/>
      <c r="G146" s="533"/>
      <c r="H146" s="396"/>
      <c r="I146" s="371"/>
      <c r="J146" s="438"/>
      <c r="K146" s="438"/>
    </row>
    <row r="147" spans="1:11" s="439" customFormat="1" ht="14.25" customHeight="1">
      <c r="A147" s="435"/>
      <c r="B147" s="440">
        <v>75801</v>
      </c>
      <c r="C147" s="437"/>
      <c r="D147" s="398" t="s">
        <v>106</v>
      </c>
      <c r="E147" s="370">
        <f>SUM(E148)</f>
        <v>17480200</v>
      </c>
      <c r="F147" s="357">
        <f>SUM(F148)</f>
        <v>14806165</v>
      </c>
      <c r="G147" s="505">
        <f>SUM(G148)</f>
        <v>14806165</v>
      </c>
      <c r="H147" s="357">
        <f>SUM(H148)</f>
        <v>0</v>
      </c>
      <c r="I147" s="52">
        <f>SUM(F147/E147)</f>
        <v>0.8470249196233453</v>
      </c>
      <c r="J147" s="438"/>
      <c r="K147" s="438"/>
    </row>
    <row r="148" spans="1:11" s="342" customFormat="1" ht="24.75" customHeight="1">
      <c r="A148" s="360"/>
      <c r="B148" s="518"/>
      <c r="C148" s="515" t="s">
        <v>107</v>
      </c>
      <c r="D148" s="519" t="s">
        <v>108</v>
      </c>
      <c r="E148" s="465">
        <v>17480200</v>
      </c>
      <c r="F148" s="488">
        <f>SUM(G148:H148)</f>
        <v>14806165</v>
      </c>
      <c r="G148" s="520">
        <v>14806165</v>
      </c>
      <c r="H148" s="521"/>
      <c r="I148" s="52">
        <f>SUM(F148/E148)</f>
        <v>0.8470249196233453</v>
      </c>
      <c r="J148" s="343"/>
      <c r="K148" s="343"/>
    </row>
    <row r="149" spans="1:11" s="439" customFormat="1" ht="22.5" customHeight="1">
      <c r="A149" s="435"/>
      <c r="B149" s="440">
        <v>75814</v>
      </c>
      <c r="C149" s="437"/>
      <c r="D149" s="398" t="s">
        <v>109</v>
      </c>
      <c r="E149" s="370">
        <f>SUM(E150)</f>
        <v>300000</v>
      </c>
      <c r="F149" s="357">
        <f>SUM(F150)</f>
        <v>366854.34</v>
      </c>
      <c r="G149" s="505">
        <f>SUM(G150)</f>
        <v>366854.34</v>
      </c>
      <c r="H149" s="357">
        <f>SUM(H150)</f>
        <v>0</v>
      </c>
      <c r="I149" s="52">
        <f>SUM(F149/E149)</f>
        <v>1.2228478</v>
      </c>
      <c r="J149" s="438"/>
      <c r="K149" s="438"/>
    </row>
    <row r="150" spans="1:11" s="439" customFormat="1" ht="25.5" customHeight="1">
      <c r="A150" s="435"/>
      <c r="B150" s="437"/>
      <c r="C150" s="522" t="s">
        <v>39</v>
      </c>
      <c r="D150" s="464" t="s">
        <v>40</v>
      </c>
      <c r="E150" s="370">
        <v>300000</v>
      </c>
      <c r="F150" s="357">
        <f>SUM(G150:H150)</f>
        <v>366854.34</v>
      </c>
      <c r="G150" s="505">
        <v>366854.34</v>
      </c>
      <c r="H150" s="357"/>
      <c r="I150" s="52">
        <f>SUM(F150/E150)</f>
        <v>1.2228478</v>
      </c>
      <c r="J150" s="438"/>
      <c r="K150" s="438"/>
    </row>
    <row r="151" spans="1:11" s="439" customFormat="1" ht="14.25" customHeight="1">
      <c r="A151" s="435"/>
      <c r="B151" s="440"/>
      <c r="C151" s="440"/>
      <c r="D151" s="446"/>
      <c r="E151" s="397"/>
      <c r="F151" s="396"/>
      <c r="G151" s="533"/>
      <c r="H151" s="396"/>
      <c r="I151" s="371"/>
      <c r="J151" s="438"/>
      <c r="K151" s="438"/>
    </row>
    <row r="152" spans="1:11" s="439" customFormat="1" ht="14.25" customHeight="1">
      <c r="A152" s="435"/>
      <c r="B152" s="440">
        <v>75820</v>
      </c>
      <c r="C152" s="437"/>
      <c r="D152" s="398" t="s">
        <v>227</v>
      </c>
      <c r="E152" s="370">
        <f>SUM(E153:E154)</f>
        <v>41273</v>
      </c>
      <c r="F152" s="357">
        <f>SUM(F153:F154)</f>
        <v>45414.17</v>
      </c>
      <c r="G152" s="357">
        <f>SUM(G153:G154)</f>
        <v>45414.17</v>
      </c>
      <c r="H152" s="357">
        <f>SUM(H153:H154)</f>
        <v>0</v>
      </c>
      <c r="I152" s="52">
        <f>SUM(F152/E152)</f>
        <v>1.1003360550480943</v>
      </c>
      <c r="J152" s="438"/>
      <c r="K152" s="438"/>
    </row>
    <row r="153" spans="1:11" s="342" customFormat="1" ht="25.5" customHeight="1">
      <c r="A153" s="360"/>
      <c r="B153" s="523"/>
      <c r="C153" s="524" t="s">
        <v>203</v>
      </c>
      <c r="D153" s="525" t="s">
        <v>205</v>
      </c>
      <c r="E153" s="526">
        <v>38204</v>
      </c>
      <c r="F153" s="527">
        <f>SUM(G153:H153)</f>
        <v>38204.49</v>
      </c>
      <c r="G153" s="474">
        <v>38204.49</v>
      </c>
      <c r="H153" s="399"/>
      <c r="I153" s="52">
        <f>SUM(F153/E153)</f>
        <v>1.0000128258821066</v>
      </c>
      <c r="J153" s="343"/>
      <c r="K153" s="343"/>
    </row>
    <row r="154" spans="1:11" s="439" customFormat="1" ht="25.5" customHeight="1">
      <c r="A154" s="435"/>
      <c r="B154" s="437"/>
      <c r="C154" s="515" t="s">
        <v>39</v>
      </c>
      <c r="D154" s="469" t="s">
        <v>40</v>
      </c>
      <c r="E154" s="370">
        <v>3069</v>
      </c>
      <c r="F154" s="357">
        <f>SUM(G154:H154)</f>
        <v>7209.68</v>
      </c>
      <c r="G154" s="54">
        <v>7209.68</v>
      </c>
      <c r="H154" s="51"/>
      <c r="I154" s="466">
        <f>SUM(F154/E154)</f>
        <v>2.3491951775822746</v>
      </c>
      <c r="J154" s="438"/>
      <c r="K154" s="438"/>
    </row>
    <row r="155" spans="1:11" s="439" customFormat="1" ht="14.25" customHeight="1">
      <c r="A155" s="435"/>
      <c r="B155" s="440"/>
      <c r="C155" s="440"/>
      <c r="D155" s="446"/>
      <c r="E155" s="397"/>
      <c r="F155" s="396"/>
      <c r="G155" s="533"/>
      <c r="H155" s="396"/>
      <c r="I155" s="371"/>
      <c r="J155" s="438"/>
      <c r="K155" s="438"/>
    </row>
    <row r="156" spans="1:11" s="439" customFormat="1" ht="14.25" customHeight="1">
      <c r="A156" s="435"/>
      <c r="B156" s="440">
        <v>75831</v>
      </c>
      <c r="C156" s="437"/>
      <c r="D156" s="398" t="s">
        <v>110</v>
      </c>
      <c r="E156" s="370">
        <f>SUM(E157)</f>
        <v>825567</v>
      </c>
      <c r="F156" s="357">
        <f>SUM(F157)</f>
        <v>619326</v>
      </c>
      <c r="G156" s="505">
        <f>SUM(G157)</f>
        <v>619326</v>
      </c>
      <c r="H156" s="357">
        <f>SUM(H157)</f>
        <v>0</v>
      </c>
      <c r="I156" s="52">
        <f>SUM(F156/E156)</f>
        <v>0.750182601775507</v>
      </c>
      <c r="J156" s="438"/>
      <c r="K156" s="438"/>
    </row>
    <row r="157" spans="1:11" s="439" customFormat="1" ht="25.5" customHeight="1" thickBot="1">
      <c r="A157" s="450"/>
      <c r="B157" s="451"/>
      <c r="C157" s="529" t="s">
        <v>107</v>
      </c>
      <c r="D157" s="453" t="s">
        <v>108</v>
      </c>
      <c r="E157" s="530">
        <v>825567</v>
      </c>
      <c r="F157" s="531">
        <f>SUM(G157:H157)</f>
        <v>619326</v>
      </c>
      <c r="G157" s="478">
        <v>619326</v>
      </c>
      <c r="H157" s="937"/>
      <c r="I157" s="457">
        <f>SUM(F157/E157)</f>
        <v>0.750182601775507</v>
      </c>
      <c r="J157" s="438"/>
      <c r="K157" s="438"/>
    </row>
    <row r="158" spans="1:11" s="439" customFormat="1" ht="14.25" customHeight="1" thickTop="1">
      <c r="A158" s="435"/>
      <c r="B158" s="440"/>
      <c r="C158" s="480"/>
      <c r="D158" s="532"/>
      <c r="E158" s="397"/>
      <c r="F158" s="396"/>
      <c r="G158" s="380"/>
      <c r="H158" s="379"/>
      <c r="I158" s="371"/>
      <c r="J158" s="438"/>
      <c r="K158" s="438"/>
    </row>
    <row r="159" spans="1:11" s="439" customFormat="1" ht="14.25" customHeight="1">
      <c r="A159" s="435">
        <v>801</v>
      </c>
      <c r="B159" s="436"/>
      <c r="C159" s="437"/>
      <c r="D159" s="398" t="s">
        <v>18</v>
      </c>
      <c r="E159" s="370">
        <f>E161+E167+E170+E172+E179+E182</f>
        <v>370327</v>
      </c>
      <c r="F159" s="357">
        <f>SUM(F161+F167+F172+F182)+F179+F170</f>
        <v>364523.82000000007</v>
      </c>
      <c r="G159" s="357">
        <f>SUM(G161+G167+G172+G182)+G179+G170</f>
        <v>364523.82000000007</v>
      </c>
      <c r="H159" s="357">
        <f>SUM(H161+H167+H172+H182)+H179+H170</f>
        <v>0</v>
      </c>
      <c r="I159" s="52">
        <f>SUM(F159/E159)</f>
        <v>0.9843295789937003</v>
      </c>
      <c r="J159" s="438"/>
      <c r="K159" s="438"/>
    </row>
    <row r="160" spans="1:11" s="439" customFormat="1" ht="14.25" customHeight="1">
      <c r="A160" s="435"/>
      <c r="B160" s="504"/>
      <c r="C160" s="440"/>
      <c r="D160" s="446"/>
      <c r="E160" s="397"/>
      <c r="F160" s="396"/>
      <c r="G160" s="533"/>
      <c r="H160" s="396"/>
      <c r="I160" s="371"/>
      <c r="J160" s="438"/>
      <c r="K160" s="438"/>
    </row>
    <row r="161" spans="1:11" s="439" customFormat="1" ht="14.25" customHeight="1">
      <c r="A161" s="435"/>
      <c r="B161" s="440">
        <v>80101</v>
      </c>
      <c r="C161" s="437"/>
      <c r="D161" s="398" t="s">
        <v>111</v>
      </c>
      <c r="E161" s="370">
        <f>SUM(E162:E165)</f>
        <v>231988</v>
      </c>
      <c r="F161" s="357">
        <f>SUM(F162:F165)</f>
        <v>230366.75</v>
      </c>
      <c r="G161" s="357">
        <f>SUM(G162:G165)</f>
        <v>230366.75</v>
      </c>
      <c r="H161" s="357">
        <f>SUM(H162:H165)</f>
        <v>0</v>
      </c>
      <c r="I161" s="52">
        <f>SUM(F161/E161)</f>
        <v>0.9930114919737227</v>
      </c>
      <c r="J161" s="438"/>
      <c r="K161" s="438"/>
    </row>
    <row r="162" spans="1:11" s="342" customFormat="1" ht="24.75" customHeight="1">
      <c r="A162" s="360"/>
      <c r="B162" s="523"/>
      <c r="C162" s="534">
        <v>2370</v>
      </c>
      <c r="D162" s="464" t="s">
        <v>396</v>
      </c>
      <c r="E162" s="370">
        <v>21266</v>
      </c>
      <c r="F162" s="488">
        <f>SUM(G162:H162)</f>
        <v>21265.77</v>
      </c>
      <c r="G162" s="488">
        <v>21265.77</v>
      </c>
      <c r="H162" s="938"/>
      <c r="I162" s="466">
        <f>SUM(F162/E162)</f>
        <v>0.9999891846139377</v>
      </c>
      <c r="J162" s="343"/>
      <c r="K162" s="343"/>
    </row>
    <row r="163" spans="1:11" s="342" customFormat="1" ht="38.25">
      <c r="A163" s="360"/>
      <c r="B163" s="523"/>
      <c r="C163" s="534">
        <v>2460</v>
      </c>
      <c r="D163" s="464" t="s">
        <v>224</v>
      </c>
      <c r="E163" s="370">
        <v>2287</v>
      </c>
      <c r="F163" s="488">
        <f>SUM(G163:H163)</f>
        <v>2286.07</v>
      </c>
      <c r="G163" s="488">
        <v>2286.07</v>
      </c>
      <c r="H163" s="938"/>
      <c r="I163" s="466">
        <f>SUM(F163/E163)</f>
        <v>0.9995933537385222</v>
      </c>
      <c r="J163" s="343"/>
      <c r="K163" s="343"/>
    </row>
    <row r="164" spans="1:11" s="342" customFormat="1" ht="38.25">
      <c r="A164" s="360"/>
      <c r="B164" s="523"/>
      <c r="C164" s="534">
        <v>2705</v>
      </c>
      <c r="D164" s="464" t="s">
        <v>48</v>
      </c>
      <c r="E164" s="370">
        <v>3200</v>
      </c>
      <c r="F164" s="488">
        <f>SUM(G164:H164)</f>
        <v>1600</v>
      </c>
      <c r="G164" s="488">
        <v>1600</v>
      </c>
      <c r="H164" s="938"/>
      <c r="I164" s="466">
        <f>SUM(F164/E164)</f>
        <v>0.5</v>
      </c>
      <c r="J164" s="343"/>
      <c r="K164" s="343"/>
    </row>
    <row r="165" spans="1:11" s="342" customFormat="1" ht="25.5">
      <c r="A165" s="390"/>
      <c r="B165" s="518"/>
      <c r="C165" s="535">
        <v>2910</v>
      </c>
      <c r="D165" s="519" t="s">
        <v>204</v>
      </c>
      <c r="E165" s="370">
        <v>205235</v>
      </c>
      <c r="F165" s="357">
        <f>G165+H165</f>
        <v>205214.91</v>
      </c>
      <c r="G165" s="357">
        <v>205214.91</v>
      </c>
      <c r="H165" s="357"/>
      <c r="I165" s="52">
        <f>SUM(F165/E165)</f>
        <v>0.9999021122128292</v>
      </c>
      <c r="J165" s="343"/>
      <c r="K165" s="343"/>
    </row>
    <row r="166" spans="1:11" s="439" customFormat="1" ht="14.25" customHeight="1">
      <c r="A166" s="435"/>
      <c r="B166" s="504"/>
      <c r="C166" s="536"/>
      <c r="D166" s="446"/>
      <c r="E166" s="397"/>
      <c r="F166" s="396"/>
      <c r="G166" s="380"/>
      <c r="H166" s="379"/>
      <c r="I166" s="371"/>
      <c r="J166" s="438"/>
      <c r="K166" s="438"/>
    </row>
    <row r="167" spans="1:11" s="439" customFormat="1" ht="14.25" customHeight="1">
      <c r="A167" s="435"/>
      <c r="B167" s="440">
        <v>80103</v>
      </c>
      <c r="C167" s="537"/>
      <c r="D167" s="398" t="s">
        <v>193</v>
      </c>
      <c r="E167" s="370">
        <f>E168</f>
        <v>7455</v>
      </c>
      <c r="F167" s="357">
        <f>F168</f>
        <v>7455.25</v>
      </c>
      <c r="G167" s="357">
        <f>G168</f>
        <v>7455.25</v>
      </c>
      <c r="H167" s="357">
        <f>H168</f>
        <v>0</v>
      </c>
      <c r="I167" s="52">
        <f>SUM(F167/E167)</f>
        <v>1.0000335345405769</v>
      </c>
      <c r="J167" s="438"/>
      <c r="K167" s="438"/>
    </row>
    <row r="168" spans="1:11" s="439" customFormat="1" ht="27" customHeight="1">
      <c r="A168" s="470"/>
      <c r="B168" s="437"/>
      <c r="C168" s="538" t="s">
        <v>247</v>
      </c>
      <c r="D168" s="519" t="s">
        <v>204</v>
      </c>
      <c r="E168" s="442">
        <v>7455</v>
      </c>
      <c r="F168" s="443">
        <f>SUM(G168:H168)</f>
        <v>7455.25</v>
      </c>
      <c r="G168" s="54">
        <v>7455.25</v>
      </c>
      <c r="H168" s="51"/>
      <c r="I168" s="52">
        <f>SUM(F168/E168)</f>
        <v>1.0000335345405769</v>
      </c>
      <c r="J168" s="438"/>
      <c r="K168" s="438"/>
    </row>
    <row r="169" spans="1:11" s="439" customFormat="1" ht="14.25" customHeight="1">
      <c r="A169" s="435"/>
      <c r="B169" s="504"/>
      <c r="C169" s="536"/>
      <c r="D169" s="446"/>
      <c r="E169" s="397"/>
      <c r="F169" s="396"/>
      <c r="G169" s="380"/>
      <c r="H169" s="379"/>
      <c r="I169" s="371"/>
      <c r="J169" s="438"/>
      <c r="K169" s="438"/>
    </row>
    <row r="170" spans="1:11" s="439" customFormat="1" ht="13.5" customHeight="1">
      <c r="A170" s="435"/>
      <c r="B170" s="440">
        <v>80104</v>
      </c>
      <c r="C170" s="537"/>
      <c r="D170" s="398" t="s">
        <v>112</v>
      </c>
      <c r="E170" s="370">
        <f>E171</f>
        <v>20033</v>
      </c>
      <c r="F170" s="357">
        <f>F171</f>
        <v>20053.77</v>
      </c>
      <c r="G170" s="357">
        <f>G171</f>
        <v>20053.77</v>
      </c>
      <c r="H170" s="357">
        <f>H171</f>
        <v>0</v>
      </c>
      <c r="I170" s="52">
        <f aca="true" t="shared" si="8" ref="I170:I176">SUM(F170/E170)</f>
        <v>1.0010367892976588</v>
      </c>
      <c r="J170" s="438"/>
      <c r="K170" s="438"/>
    </row>
    <row r="171" spans="1:11" s="439" customFormat="1" ht="27" customHeight="1">
      <c r="A171" s="470"/>
      <c r="B171" s="437"/>
      <c r="C171" s="538" t="s">
        <v>247</v>
      </c>
      <c r="D171" s="519" t="s">
        <v>204</v>
      </c>
      <c r="E171" s="442">
        <v>20033</v>
      </c>
      <c r="F171" s="443">
        <f>SUM(G171:H171)</f>
        <v>20053.77</v>
      </c>
      <c r="G171" s="54">
        <v>20053.77</v>
      </c>
      <c r="H171" s="51"/>
      <c r="I171" s="52">
        <f t="shared" si="8"/>
        <v>1.0010367892976588</v>
      </c>
      <c r="J171" s="438"/>
      <c r="K171" s="438"/>
    </row>
    <row r="172" spans="1:11" s="439" customFormat="1" ht="30" customHeight="1">
      <c r="A172" s="435"/>
      <c r="B172" s="440">
        <v>80110</v>
      </c>
      <c r="C172" s="537"/>
      <c r="D172" s="398" t="s">
        <v>114</v>
      </c>
      <c r="E172" s="370">
        <f>SUM(E173:E176)</f>
        <v>82096</v>
      </c>
      <c r="F172" s="357">
        <f>SUM(F173:F176)</f>
        <v>77893.53</v>
      </c>
      <c r="G172" s="357">
        <f>SUM(G173:G176)</f>
        <v>77893.53</v>
      </c>
      <c r="H172" s="357">
        <f>SUM(H173:H176)</f>
        <v>0</v>
      </c>
      <c r="I172" s="52">
        <f t="shared" si="8"/>
        <v>0.9488102952640811</v>
      </c>
      <c r="J172" s="438"/>
      <c r="K172" s="438"/>
    </row>
    <row r="173" spans="1:11" s="439" customFormat="1" ht="45.75" customHeight="1">
      <c r="A173" s="470"/>
      <c r="B173" s="440"/>
      <c r="C173" s="538" t="s">
        <v>235</v>
      </c>
      <c r="D173" s="464" t="s">
        <v>48</v>
      </c>
      <c r="E173" s="370">
        <v>4200</v>
      </c>
      <c r="F173" s="357">
        <f>SUM(G173:H173)</f>
        <v>0</v>
      </c>
      <c r="G173" s="511"/>
      <c r="H173" s="540"/>
      <c r="I173" s="52">
        <f t="shared" si="8"/>
        <v>0</v>
      </c>
      <c r="J173" s="438"/>
      <c r="K173" s="438"/>
    </row>
    <row r="174" spans="1:11" s="439" customFormat="1" ht="45.75" customHeight="1">
      <c r="A174" s="470"/>
      <c r="B174" s="440"/>
      <c r="C174" s="538" t="s">
        <v>47</v>
      </c>
      <c r="D174" s="464" t="s">
        <v>48</v>
      </c>
      <c r="E174" s="370">
        <v>63483</v>
      </c>
      <c r="F174" s="357">
        <f>SUM(G174:H174)</f>
        <v>63482.25</v>
      </c>
      <c r="G174" s="511">
        <v>63482.25</v>
      </c>
      <c r="H174" s="540"/>
      <c r="I174" s="52">
        <f t="shared" si="8"/>
        <v>0.9999881858135249</v>
      </c>
      <c r="J174" s="438"/>
      <c r="K174" s="438"/>
    </row>
    <row r="175" spans="1:11" s="439" customFormat="1" ht="38.25">
      <c r="A175" s="435"/>
      <c r="B175" s="440"/>
      <c r="C175" s="538" t="s">
        <v>214</v>
      </c>
      <c r="D175" s="464" t="s">
        <v>48</v>
      </c>
      <c r="E175" s="442">
        <v>8465</v>
      </c>
      <c r="F175" s="357">
        <f>SUM(G175:H175)</f>
        <v>8464.3</v>
      </c>
      <c r="G175" s="54">
        <v>8464.3</v>
      </c>
      <c r="H175" s="51"/>
      <c r="I175" s="52">
        <f t="shared" si="8"/>
        <v>0.9999173065564086</v>
      </c>
      <c r="J175" s="438"/>
      <c r="K175" s="438"/>
    </row>
    <row r="176" spans="1:11" s="342" customFormat="1" ht="25.5">
      <c r="A176" s="389"/>
      <c r="B176" s="518"/>
      <c r="C176" s="535">
        <v>2910</v>
      </c>
      <c r="D176" s="519" t="s">
        <v>204</v>
      </c>
      <c r="E176" s="370">
        <v>5948</v>
      </c>
      <c r="F176" s="357">
        <f>G176+H176</f>
        <v>5946.98</v>
      </c>
      <c r="G176" s="357">
        <v>5946.98</v>
      </c>
      <c r="H176" s="357"/>
      <c r="I176" s="52">
        <f t="shared" si="8"/>
        <v>0.9998285137861466</v>
      </c>
      <c r="J176" s="343"/>
      <c r="K176" s="343"/>
    </row>
    <row r="177" spans="1:11" s="355" customFormat="1" ht="14.25" customHeight="1">
      <c r="A177" s="490">
        <v>1</v>
      </c>
      <c r="B177" s="491">
        <v>2</v>
      </c>
      <c r="C177" s="492">
        <v>3</v>
      </c>
      <c r="D177" s="491">
        <v>4</v>
      </c>
      <c r="E177" s="492">
        <v>5</v>
      </c>
      <c r="F177" s="494">
        <v>6</v>
      </c>
      <c r="G177" s="493">
        <v>7</v>
      </c>
      <c r="H177" s="494">
        <v>8</v>
      </c>
      <c r="I177" s="495">
        <v>9</v>
      </c>
      <c r="J177" s="354"/>
      <c r="K177" s="354"/>
    </row>
    <row r="178" spans="1:11" s="439" customFormat="1" ht="12.75">
      <c r="A178" s="435"/>
      <c r="B178" s="440"/>
      <c r="C178" s="539"/>
      <c r="D178" s="472"/>
      <c r="E178" s="397"/>
      <c r="F178" s="396"/>
      <c r="G178" s="380"/>
      <c r="H178" s="379"/>
      <c r="I178" s="371"/>
      <c r="J178" s="438"/>
      <c r="K178" s="438"/>
    </row>
    <row r="179" spans="1:11" s="439" customFormat="1" ht="12.75">
      <c r="A179" s="435"/>
      <c r="B179" s="440">
        <v>80146</v>
      </c>
      <c r="C179" s="538"/>
      <c r="D179" s="464" t="s">
        <v>195</v>
      </c>
      <c r="E179" s="370">
        <f>SUM(E180)</f>
        <v>39</v>
      </c>
      <c r="F179" s="357">
        <f>SUM(F180)</f>
        <v>38.52</v>
      </c>
      <c r="G179" s="511">
        <f>SUM(G180)</f>
        <v>38.52</v>
      </c>
      <c r="H179" s="540">
        <f>SUM(H180)</f>
        <v>0</v>
      </c>
      <c r="I179" s="52">
        <f>SUM(F179/E179)</f>
        <v>0.9876923076923078</v>
      </c>
      <c r="J179" s="438"/>
      <c r="K179" s="438"/>
    </row>
    <row r="180" spans="1:11" s="439" customFormat="1" ht="35.25" customHeight="1">
      <c r="A180" s="470"/>
      <c r="B180" s="437"/>
      <c r="C180" s="538" t="s">
        <v>247</v>
      </c>
      <c r="D180" s="519" t="s">
        <v>204</v>
      </c>
      <c r="E180" s="370">
        <v>39</v>
      </c>
      <c r="F180" s="357">
        <f>SUM(G180:H180)</f>
        <v>38.52</v>
      </c>
      <c r="G180" s="511">
        <v>38.52</v>
      </c>
      <c r="H180" s="540"/>
      <c r="I180" s="466">
        <f>SUM(F180/E180)</f>
        <v>0.9876923076923078</v>
      </c>
      <c r="J180" s="438"/>
      <c r="K180" s="438"/>
    </row>
    <row r="181" spans="1:11" s="439" customFormat="1" ht="12.75">
      <c r="A181" s="435"/>
      <c r="B181" s="440"/>
      <c r="C181" s="539"/>
      <c r="D181" s="472"/>
      <c r="E181" s="397"/>
      <c r="F181" s="396"/>
      <c r="G181" s="380"/>
      <c r="H181" s="379"/>
      <c r="I181" s="371"/>
      <c r="J181" s="438"/>
      <c r="K181" s="438"/>
    </row>
    <row r="182" spans="1:11" s="439" customFormat="1" ht="12.75">
      <c r="A182" s="435"/>
      <c r="B182" s="440">
        <v>80195</v>
      </c>
      <c r="C182" s="541"/>
      <c r="D182" s="464" t="s">
        <v>49</v>
      </c>
      <c r="E182" s="370">
        <f>E183</f>
        <v>28716</v>
      </c>
      <c r="F182" s="357">
        <f>F183</f>
        <v>28716</v>
      </c>
      <c r="G182" s="357">
        <f>G183</f>
        <v>28716</v>
      </c>
      <c r="H182" s="357">
        <f>H183</f>
        <v>0</v>
      </c>
      <c r="I182" s="52">
        <f>SUM(F182/E182)</f>
        <v>1</v>
      </c>
      <c r="J182" s="438"/>
      <c r="K182" s="438"/>
    </row>
    <row r="183" spans="1:11" s="439" customFormat="1" ht="26.25" thickBot="1">
      <c r="A183" s="450"/>
      <c r="B183" s="451"/>
      <c r="C183" s="542" t="s">
        <v>115</v>
      </c>
      <c r="D183" s="453" t="s">
        <v>116</v>
      </c>
      <c r="E183" s="530">
        <v>28716</v>
      </c>
      <c r="F183" s="531">
        <f>SUM(G183:H183)</f>
        <v>28716</v>
      </c>
      <c r="G183" s="456">
        <v>28716</v>
      </c>
      <c r="H183" s="626"/>
      <c r="I183" s="457">
        <f>SUM(F183/E183)</f>
        <v>1</v>
      </c>
      <c r="J183" s="438"/>
      <c r="K183" s="438"/>
    </row>
    <row r="184" spans="1:11" s="439" customFormat="1" ht="14.25" customHeight="1" thickTop="1">
      <c r="A184" s="435"/>
      <c r="B184" s="504"/>
      <c r="C184" s="536"/>
      <c r="D184" s="446"/>
      <c r="E184" s="378"/>
      <c r="F184" s="379"/>
      <c r="G184" s="380"/>
      <c r="H184" s="379"/>
      <c r="I184" s="371"/>
      <c r="J184" s="438"/>
      <c r="K184" s="438"/>
    </row>
    <row r="185" spans="1:11" s="439" customFormat="1" ht="14.25" customHeight="1">
      <c r="A185" s="435">
        <v>851</v>
      </c>
      <c r="B185" s="436"/>
      <c r="C185" s="537"/>
      <c r="D185" s="398" t="s">
        <v>19</v>
      </c>
      <c r="E185" s="370">
        <f>E187</f>
        <v>1571</v>
      </c>
      <c r="F185" s="357">
        <f>F187</f>
        <v>756.29</v>
      </c>
      <c r="G185" s="357">
        <f>G187</f>
        <v>756.29</v>
      </c>
      <c r="H185" s="357">
        <f>H187</f>
        <v>0</v>
      </c>
      <c r="I185" s="52">
        <f>SUM(F185/E185)</f>
        <v>0.4814067472947167</v>
      </c>
      <c r="J185" s="438"/>
      <c r="K185" s="438"/>
    </row>
    <row r="186" spans="1:11" s="439" customFormat="1" ht="14.25" customHeight="1">
      <c r="A186" s="435"/>
      <c r="B186" s="440"/>
      <c r="C186" s="543"/>
      <c r="D186" s="446"/>
      <c r="E186" s="397"/>
      <c r="F186" s="396"/>
      <c r="G186" s="533"/>
      <c r="H186" s="396"/>
      <c r="I186" s="371"/>
      <c r="J186" s="438"/>
      <c r="K186" s="438"/>
    </row>
    <row r="187" spans="1:11" s="439" customFormat="1" ht="14.25" customHeight="1">
      <c r="A187" s="435"/>
      <c r="B187" s="440">
        <v>85195</v>
      </c>
      <c r="C187" s="544"/>
      <c r="D187" s="398" t="s">
        <v>49</v>
      </c>
      <c r="E187" s="370">
        <f>SUM(E188:E190)</f>
        <v>1571</v>
      </c>
      <c r="F187" s="357">
        <f>SUM(F188:F190)</f>
        <v>756.29</v>
      </c>
      <c r="G187" s="357">
        <f>SUM(G188:G190)</f>
        <v>756.29</v>
      </c>
      <c r="H187" s="357">
        <f>SUM(H188:H190)</f>
        <v>0</v>
      </c>
      <c r="I187" s="52">
        <f>SUM(F187/E187)</f>
        <v>0.4814067472947167</v>
      </c>
      <c r="J187" s="438"/>
      <c r="K187" s="438"/>
    </row>
    <row r="188" spans="1:11" s="439" customFormat="1" ht="38.25">
      <c r="A188" s="435"/>
      <c r="B188" s="440"/>
      <c r="C188" s="545" t="s">
        <v>117</v>
      </c>
      <c r="D188" s="469" t="s">
        <v>118</v>
      </c>
      <c r="E188" s="442">
        <v>1508</v>
      </c>
      <c r="F188" s="357">
        <f>SUM(G188:H188)</f>
        <v>693.1</v>
      </c>
      <c r="G188" s="511">
        <v>693.1</v>
      </c>
      <c r="H188" s="540"/>
      <c r="I188" s="52">
        <f>SUM(F188/E188)</f>
        <v>0.45961538461538465</v>
      </c>
      <c r="J188" s="438"/>
      <c r="K188" s="438"/>
    </row>
    <row r="189" spans="1:11" s="439" customFormat="1" ht="25.5" customHeight="1">
      <c r="A189" s="435"/>
      <c r="B189" s="440"/>
      <c r="C189" s="546" t="s">
        <v>39</v>
      </c>
      <c r="D189" s="469" t="s">
        <v>40</v>
      </c>
      <c r="E189" s="442">
        <v>7</v>
      </c>
      <c r="F189" s="357">
        <f>SUM(G189:H189)</f>
        <v>7</v>
      </c>
      <c r="G189" s="445">
        <v>7</v>
      </c>
      <c r="H189" s="443"/>
      <c r="I189" s="466">
        <f>SUM(F189/E189)</f>
        <v>1</v>
      </c>
      <c r="J189" s="438"/>
      <c r="K189" s="438"/>
    </row>
    <row r="190" spans="1:11" s="342" customFormat="1" ht="30.75" customHeight="1" thickBot="1">
      <c r="A190" s="547"/>
      <c r="B190" s="548"/>
      <c r="C190" s="549">
        <v>2910</v>
      </c>
      <c r="D190" s="483" t="s">
        <v>204</v>
      </c>
      <c r="E190" s="502">
        <v>56</v>
      </c>
      <c r="F190" s="455">
        <f>SUM(G190:H190)</f>
        <v>56.19</v>
      </c>
      <c r="G190" s="455">
        <v>56.19</v>
      </c>
      <c r="H190" s="455"/>
      <c r="I190" s="479">
        <f>SUM(F190/E190)</f>
        <v>1.0033928571428572</v>
      </c>
      <c r="J190" s="343"/>
      <c r="K190" s="343"/>
    </row>
    <row r="191" spans="1:11" s="439" customFormat="1" ht="14.25" customHeight="1" thickTop="1">
      <c r="A191" s="435"/>
      <c r="B191" s="504"/>
      <c r="C191" s="550"/>
      <c r="D191" s="532"/>
      <c r="E191" s="397"/>
      <c r="F191" s="396"/>
      <c r="G191" s="380"/>
      <c r="H191" s="379"/>
      <c r="I191" s="371"/>
      <c r="J191" s="438"/>
      <c r="K191" s="438"/>
    </row>
    <row r="192" spans="1:11" s="439" customFormat="1" ht="14.25" customHeight="1">
      <c r="A192" s="435">
        <v>852</v>
      </c>
      <c r="B192" s="436"/>
      <c r="C192" s="537"/>
      <c r="D192" s="398" t="s">
        <v>20</v>
      </c>
      <c r="E192" s="551">
        <f>E194+E198+E202+E205+E208+E212</f>
        <v>2220454</v>
      </c>
      <c r="F192" s="357">
        <f>F194+F198+F202+F205+F208+F212</f>
        <v>1457436.59</v>
      </c>
      <c r="G192" s="357">
        <f>G194+G198+G202+G205+G208+G212</f>
        <v>1457436.59</v>
      </c>
      <c r="H192" s="357">
        <f>H194+H198+H202+H205+H208+H212</f>
        <v>0</v>
      </c>
      <c r="I192" s="52">
        <f>SUM(F192/E192)</f>
        <v>0.6563687381049101</v>
      </c>
      <c r="J192" s="438"/>
      <c r="K192" s="438"/>
    </row>
    <row r="193" spans="1:11" s="439" customFormat="1" ht="14.25" customHeight="1">
      <c r="A193" s="435"/>
      <c r="B193" s="440">
        <v>85212</v>
      </c>
      <c r="C193" s="543"/>
      <c r="D193" s="446" t="s">
        <v>231</v>
      </c>
      <c r="E193" s="397"/>
      <c r="F193" s="396"/>
      <c r="G193" s="396"/>
      <c r="H193" s="396"/>
      <c r="I193" s="371"/>
      <c r="J193" s="438"/>
      <c r="K193" s="438"/>
    </row>
    <row r="194" spans="1:11" s="439" customFormat="1" ht="14.25" customHeight="1">
      <c r="A194" s="435"/>
      <c r="B194" s="504"/>
      <c r="C194" s="537"/>
      <c r="D194" s="398" t="s">
        <v>119</v>
      </c>
      <c r="E194" s="370">
        <f>SUM(E196)</f>
        <v>50000</v>
      </c>
      <c r="F194" s="357">
        <f>SUM(F196)</f>
        <v>83412.56</v>
      </c>
      <c r="G194" s="357">
        <f>SUM(G196)</f>
        <v>83412.56</v>
      </c>
      <c r="H194" s="357">
        <f>SUM(H196)</f>
        <v>0</v>
      </c>
      <c r="I194" s="52">
        <f>F194/E194</f>
        <v>1.6682512</v>
      </c>
      <c r="J194" s="438"/>
      <c r="K194" s="438"/>
    </row>
    <row r="195" spans="1:11" s="439" customFormat="1" ht="20.25" customHeight="1">
      <c r="A195" s="435"/>
      <c r="B195" s="504"/>
      <c r="C195" s="552">
        <v>2360</v>
      </c>
      <c r="D195" s="1351" t="s">
        <v>45</v>
      </c>
      <c r="E195" s="913"/>
      <c r="F195" s="500"/>
      <c r="G195" s="499"/>
      <c r="H195" s="500"/>
      <c r="I195" s="910"/>
      <c r="J195" s="438"/>
      <c r="K195" s="438"/>
    </row>
    <row r="196" spans="1:11" s="439" customFormat="1" ht="14.25" customHeight="1">
      <c r="A196" s="435"/>
      <c r="B196" s="436"/>
      <c r="C196" s="537"/>
      <c r="D196" s="1352"/>
      <c r="E196" s="553">
        <v>50000</v>
      </c>
      <c r="F196" s="540">
        <f>SUM(G196:H196)</f>
        <v>83412.56</v>
      </c>
      <c r="G196" s="511">
        <v>83412.56</v>
      </c>
      <c r="H196" s="540"/>
      <c r="I196" s="52">
        <f>SUM(F196/E196)</f>
        <v>1.6682512</v>
      </c>
      <c r="J196" s="438"/>
      <c r="K196" s="438"/>
    </row>
    <row r="197" spans="1:11" s="439" customFormat="1" ht="14.25" customHeight="1">
      <c r="A197" s="632"/>
      <c r="B197" s="440">
        <v>85213</v>
      </c>
      <c r="C197" s="509"/>
      <c r="D197" s="1351" t="s">
        <v>668</v>
      </c>
      <c r="E197" s="913"/>
      <c r="F197" s="500"/>
      <c r="G197" s="499"/>
      <c r="H197" s="500"/>
      <c r="I197" s="910"/>
      <c r="J197" s="438"/>
      <c r="K197" s="438"/>
    </row>
    <row r="198" spans="1:11" s="439" customFormat="1" ht="26.25" customHeight="1">
      <c r="A198" s="435"/>
      <c r="B198" s="440"/>
      <c r="C198" s="437"/>
      <c r="D198" s="1352"/>
      <c r="E198" s="553">
        <f>E200</f>
        <v>36282</v>
      </c>
      <c r="F198" s="553">
        <f>F200</f>
        <v>14512</v>
      </c>
      <c r="G198" s="553">
        <f>G200</f>
        <v>14512</v>
      </c>
      <c r="H198" s="540">
        <f>H200</f>
        <v>0</v>
      </c>
      <c r="I198" s="52">
        <f>SUM(F198/E198)</f>
        <v>0.39997795049886997</v>
      </c>
      <c r="J198" s="438"/>
      <c r="K198" s="438"/>
    </row>
    <row r="199" spans="1:11" s="439" customFormat="1" ht="14.25" customHeight="1">
      <c r="A199" s="435"/>
      <c r="B199" s="440"/>
      <c r="C199" s="509"/>
      <c r="D199" s="1318"/>
      <c r="E199" s="378"/>
      <c r="F199" s="379"/>
      <c r="G199" s="380"/>
      <c r="H199" s="379"/>
      <c r="I199" s="371"/>
      <c r="J199" s="438"/>
      <c r="K199" s="438"/>
    </row>
    <row r="200" spans="1:11" s="439" customFormat="1" ht="25.5">
      <c r="A200" s="435"/>
      <c r="B200" s="437"/>
      <c r="C200" s="437">
        <v>2030</v>
      </c>
      <c r="D200" s="464" t="s">
        <v>116</v>
      </c>
      <c r="E200" s="553">
        <v>36282</v>
      </c>
      <c r="F200" s="540">
        <f>SUM(G200:H200)</f>
        <v>14512</v>
      </c>
      <c r="G200" s="511">
        <v>14512</v>
      </c>
      <c r="H200" s="540"/>
      <c r="I200" s="52">
        <f>SUM(F200/E200)</f>
        <v>0.39997795049886997</v>
      </c>
      <c r="J200" s="438"/>
      <c r="K200" s="438"/>
    </row>
    <row r="201" spans="1:11" s="439" customFormat="1" ht="14.25" customHeight="1">
      <c r="A201" s="435"/>
      <c r="B201" s="504"/>
      <c r="C201" s="543"/>
      <c r="D201" s="656"/>
      <c r="E201" s="378"/>
      <c r="F201" s="379"/>
      <c r="G201" s="380"/>
      <c r="H201" s="379"/>
      <c r="I201" s="371"/>
      <c r="J201" s="438"/>
      <c r="K201" s="438"/>
    </row>
    <row r="202" spans="1:11" s="439" customFormat="1" ht="14.25" customHeight="1">
      <c r="A202" s="435"/>
      <c r="B202" s="440">
        <v>85214</v>
      </c>
      <c r="C202" s="544"/>
      <c r="D202" s="398" t="s">
        <v>120</v>
      </c>
      <c r="E202" s="553">
        <f>SUM(E203:E204)</f>
        <v>942384</v>
      </c>
      <c r="F202" s="540">
        <f>SUM(F203:F204)</f>
        <v>531417.19</v>
      </c>
      <c r="G202" s="540">
        <f>SUM(G203:G204)</f>
        <v>531417.19</v>
      </c>
      <c r="H202" s="540">
        <f>SUM(H203:H204)</f>
        <v>0</v>
      </c>
      <c r="I202" s="52">
        <f aca="true" t="shared" si="9" ref="I202:I209">SUM(F202/E202)</f>
        <v>0.5639072713458632</v>
      </c>
      <c r="J202" s="438"/>
      <c r="K202" s="438"/>
    </row>
    <row r="203" spans="1:11" s="439" customFormat="1" ht="27" customHeight="1">
      <c r="A203" s="435"/>
      <c r="B203" s="440"/>
      <c r="C203" s="554" t="s">
        <v>41</v>
      </c>
      <c r="D203" s="469" t="s">
        <v>42</v>
      </c>
      <c r="E203" s="53">
        <v>5000</v>
      </c>
      <c r="F203" s="54">
        <f>SUM(G203:H203)</f>
        <v>11251.19</v>
      </c>
      <c r="G203" s="54">
        <v>11251.19</v>
      </c>
      <c r="H203" s="51"/>
      <c r="I203" s="466">
        <f t="shared" si="9"/>
        <v>2.250238</v>
      </c>
      <c r="J203" s="438"/>
      <c r="K203" s="438"/>
    </row>
    <row r="204" spans="1:11" s="439" customFormat="1" ht="28.5" customHeight="1">
      <c r="A204" s="470"/>
      <c r="B204" s="437"/>
      <c r="C204" s="555">
        <v>2030</v>
      </c>
      <c r="D204" s="469" t="s">
        <v>116</v>
      </c>
      <c r="E204" s="556">
        <v>937384</v>
      </c>
      <c r="F204" s="511">
        <f>SUM(G204:H204)</f>
        <v>520166</v>
      </c>
      <c r="G204" s="511">
        <v>520166</v>
      </c>
      <c r="H204" s="540"/>
      <c r="I204" s="52">
        <f t="shared" si="9"/>
        <v>0.554912394493612</v>
      </c>
      <c r="J204" s="438"/>
      <c r="K204" s="438"/>
    </row>
    <row r="205" spans="1:11" s="439" customFormat="1" ht="24.75" customHeight="1">
      <c r="A205" s="435"/>
      <c r="B205" s="440">
        <v>85219</v>
      </c>
      <c r="C205" s="544"/>
      <c r="D205" s="398" t="s">
        <v>121</v>
      </c>
      <c r="E205" s="370">
        <f>SUM(E206:E207)</f>
        <v>600879</v>
      </c>
      <c r="F205" s="357">
        <f>SUM(F206:F207)</f>
        <v>448856.6</v>
      </c>
      <c r="G205" s="357">
        <f>SUM(G206:G207)</f>
        <v>448856.6</v>
      </c>
      <c r="H205" s="357">
        <f>SUM(H206:H207)</f>
        <v>0</v>
      </c>
      <c r="I205" s="52">
        <f t="shared" si="9"/>
        <v>0.7469999783650285</v>
      </c>
      <c r="J205" s="438"/>
      <c r="K205" s="438"/>
    </row>
    <row r="206" spans="1:11" s="439" customFormat="1" ht="22.5" customHeight="1">
      <c r="A206" s="435"/>
      <c r="B206" s="440"/>
      <c r="C206" s="538" t="s">
        <v>41</v>
      </c>
      <c r="D206" s="469" t="s">
        <v>42</v>
      </c>
      <c r="E206" s="370">
        <v>79</v>
      </c>
      <c r="F206" s="443">
        <f>SUM(G206:H206)</f>
        <v>281.6</v>
      </c>
      <c r="G206" s="54">
        <v>281.6</v>
      </c>
      <c r="H206" s="51"/>
      <c r="I206" s="52">
        <f t="shared" si="9"/>
        <v>3.564556962025317</v>
      </c>
      <c r="J206" s="438"/>
      <c r="K206" s="438"/>
    </row>
    <row r="207" spans="1:11" s="439" customFormat="1" ht="25.5">
      <c r="A207" s="470"/>
      <c r="B207" s="437"/>
      <c r="C207" s="545" t="s">
        <v>115</v>
      </c>
      <c r="D207" s="464" t="s">
        <v>116</v>
      </c>
      <c r="E207" s="370">
        <v>600800</v>
      </c>
      <c r="F207" s="505">
        <f>SUM(G207:H207)</f>
        <v>448575</v>
      </c>
      <c r="G207" s="505">
        <v>448575</v>
      </c>
      <c r="H207" s="505"/>
      <c r="I207" s="52">
        <f t="shared" si="9"/>
        <v>0.7466294940079894</v>
      </c>
      <c r="J207" s="438"/>
      <c r="K207" s="438"/>
    </row>
    <row r="208" spans="1:11" s="439" customFormat="1" ht="34.5" customHeight="1">
      <c r="A208" s="435"/>
      <c r="B208" s="440">
        <v>85228</v>
      </c>
      <c r="C208" s="544"/>
      <c r="D208" s="398" t="s">
        <v>122</v>
      </c>
      <c r="E208" s="553">
        <f>SUM(E209:E211)</f>
        <v>50350</v>
      </c>
      <c r="F208" s="540">
        <f>SUM(F209:F211)</f>
        <v>57118.74</v>
      </c>
      <c r="G208" s="540">
        <f>SUM(G209:G211)</f>
        <v>57118.74</v>
      </c>
      <c r="H208" s="540">
        <f>SUM(H209:H211)</f>
        <v>0</v>
      </c>
      <c r="I208" s="52">
        <f t="shared" si="9"/>
        <v>1.134433763654419</v>
      </c>
      <c r="J208" s="438"/>
      <c r="K208" s="438"/>
    </row>
    <row r="209" spans="1:11" s="439" customFormat="1" ht="28.5" customHeight="1">
      <c r="A209" s="435"/>
      <c r="B209" s="440"/>
      <c r="C209" s="557" t="s">
        <v>123</v>
      </c>
      <c r="D209" s="558" t="s">
        <v>124</v>
      </c>
      <c r="E209" s="556">
        <v>50000</v>
      </c>
      <c r="F209" s="511">
        <f>SUM(G209:H209)</f>
        <v>56763.38</v>
      </c>
      <c r="G209" s="511">
        <v>56763.38</v>
      </c>
      <c r="H209" s="540"/>
      <c r="I209" s="52">
        <f t="shared" si="9"/>
        <v>1.1352676</v>
      </c>
      <c r="J209" s="438"/>
      <c r="K209" s="438"/>
    </row>
    <row r="210" spans="1:11" s="439" customFormat="1" ht="14.25" customHeight="1">
      <c r="A210" s="435"/>
      <c r="B210" s="440"/>
      <c r="C210" s="1353">
        <v>2360</v>
      </c>
      <c r="D210" s="1351" t="s">
        <v>45</v>
      </c>
      <c r="E210" s="919"/>
      <c r="F210" s="499"/>
      <c r="G210" s="499"/>
      <c r="H210" s="499"/>
      <c r="I210" s="910"/>
      <c r="J210" s="438"/>
      <c r="K210" s="438"/>
    </row>
    <row r="211" spans="1:11" s="439" customFormat="1" ht="12" customHeight="1">
      <c r="A211" s="435"/>
      <c r="B211" s="437"/>
      <c r="C211" s="1354"/>
      <c r="D211" s="1352"/>
      <c r="E211" s="559">
        <v>350</v>
      </c>
      <c r="F211" s="511">
        <f>SUM(G211:H211)</f>
        <v>355.36</v>
      </c>
      <c r="G211" s="511">
        <v>355.36</v>
      </c>
      <c r="H211" s="511"/>
      <c r="I211" s="52">
        <f>F211/E211</f>
        <v>1.0153142857142858</v>
      </c>
      <c r="J211" s="438"/>
      <c r="K211" s="438"/>
    </row>
    <row r="212" spans="1:11" s="439" customFormat="1" ht="26.25" customHeight="1">
      <c r="A212" s="435"/>
      <c r="B212" s="440">
        <v>85295</v>
      </c>
      <c r="C212" s="537"/>
      <c r="D212" s="398" t="s">
        <v>49</v>
      </c>
      <c r="E212" s="370">
        <f>SUM(E213:E214)</f>
        <v>540559</v>
      </c>
      <c r="F212" s="357">
        <f>SUM(F213:F214)</f>
        <v>322119.5</v>
      </c>
      <c r="G212" s="357">
        <f>SUM(G213:G214)</f>
        <v>322119.5</v>
      </c>
      <c r="H212" s="357">
        <f>SUM(H213:H214)</f>
        <v>0</v>
      </c>
      <c r="I212" s="52">
        <f>SUM(F212/E212)</f>
        <v>0.5959007249902416</v>
      </c>
      <c r="J212" s="438"/>
      <c r="K212" s="438"/>
    </row>
    <row r="213" spans="1:11" s="439" customFormat="1" ht="26.25" customHeight="1">
      <c r="A213" s="435"/>
      <c r="B213" s="440"/>
      <c r="C213" s="545" t="s">
        <v>41</v>
      </c>
      <c r="D213" s="472" t="s">
        <v>42</v>
      </c>
      <c r="E213" s="370">
        <v>559</v>
      </c>
      <c r="F213" s="357">
        <f>SUM(G213:H213)</f>
        <v>119.5</v>
      </c>
      <c r="G213" s="357">
        <v>119.5</v>
      </c>
      <c r="H213" s="357"/>
      <c r="I213" s="52">
        <f>SUM(F213/E213)</f>
        <v>0.21377459749552774</v>
      </c>
      <c r="J213" s="438"/>
      <c r="K213" s="438"/>
    </row>
    <row r="214" spans="1:11" s="439" customFormat="1" ht="25.5">
      <c r="A214" s="679"/>
      <c r="B214" s="481"/>
      <c r="C214" s="554" t="s">
        <v>115</v>
      </c>
      <c r="D214" s="469" t="s">
        <v>116</v>
      </c>
      <c r="E214" s="442">
        <v>540000</v>
      </c>
      <c r="F214" s="443">
        <f>SUM(G214:H214)</f>
        <v>322000</v>
      </c>
      <c r="G214" s="54">
        <v>322000</v>
      </c>
      <c r="H214" s="51"/>
      <c r="I214" s="52">
        <f>SUM(F214/E214)</f>
        <v>0.5962962962962963</v>
      </c>
      <c r="J214" s="438"/>
      <c r="K214" s="438"/>
    </row>
    <row r="215" spans="1:11" s="355" customFormat="1" ht="14.25" customHeight="1">
      <c r="A215" s="490">
        <v>1</v>
      </c>
      <c r="B215" s="491">
        <v>2</v>
      </c>
      <c r="C215" s="492">
        <v>3</v>
      </c>
      <c r="D215" s="491">
        <v>4</v>
      </c>
      <c r="E215" s="492">
        <v>5</v>
      </c>
      <c r="F215" s="494">
        <v>6</v>
      </c>
      <c r="G215" s="493">
        <v>7</v>
      </c>
      <c r="H215" s="494">
        <v>8</v>
      </c>
      <c r="I215" s="495">
        <v>9</v>
      </c>
      <c r="J215" s="354"/>
      <c r="K215" s="354"/>
    </row>
    <row r="216" spans="1:11" s="570" customFormat="1" ht="14.25" customHeight="1">
      <c r="A216" s="562"/>
      <c r="B216" s="563"/>
      <c r="C216" s="564"/>
      <c r="D216" s="563"/>
      <c r="E216" s="565"/>
      <c r="F216" s="566"/>
      <c r="G216" s="676"/>
      <c r="H216" s="677"/>
      <c r="I216" s="371"/>
      <c r="J216" s="569"/>
      <c r="K216" s="569"/>
    </row>
    <row r="217" spans="1:11" s="439" customFormat="1" ht="14.25" customHeight="1">
      <c r="A217" s="435">
        <v>853</v>
      </c>
      <c r="B217" s="436"/>
      <c r="C217" s="537"/>
      <c r="D217" s="398" t="s">
        <v>21</v>
      </c>
      <c r="E217" s="370">
        <f>SUM(E221)+E218</f>
        <v>732683</v>
      </c>
      <c r="F217" s="357">
        <f>SUM(F221)+F218</f>
        <v>653409.1699999999</v>
      </c>
      <c r="G217" s="357">
        <f>SUM(G221)+G218</f>
        <v>653409.1699999999</v>
      </c>
      <c r="H217" s="357">
        <f>SUM(H221)+H218</f>
        <v>0</v>
      </c>
      <c r="I217" s="52">
        <f>SUM(F217/E217)</f>
        <v>0.8918033719903422</v>
      </c>
      <c r="J217" s="438"/>
      <c r="K217" s="438"/>
    </row>
    <row r="218" spans="1:11" s="439" customFormat="1" ht="22.5" customHeight="1">
      <c r="A218" s="435"/>
      <c r="B218" s="440">
        <v>85305</v>
      </c>
      <c r="C218" s="571"/>
      <c r="D218" s="50" t="s">
        <v>196</v>
      </c>
      <c r="E218" s="442">
        <f>E219</f>
        <v>3343</v>
      </c>
      <c r="F218" s="443">
        <f>F219</f>
        <v>3342.85</v>
      </c>
      <c r="G218" s="443">
        <f>G219</f>
        <v>3342.85</v>
      </c>
      <c r="H218" s="443">
        <f>H219</f>
        <v>0</v>
      </c>
      <c r="I218" s="466">
        <f>SUM(F218/E218)</f>
        <v>0.9999551301226443</v>
      </c>
      <c r="J218" s="438"/>
      <c r="K218" s="438"/>
    </row>
    <row r="219" spans="1:11" s="342" customFormat="1" ht="30.75" customHeight="1">
      <c r="A219" s="360"/>
      <c r="B219" s="518"/>
      <c r="C219" s="555">
        <v>2910</v>
      </c>
      <c r="D219" s="519" t="s">
        <v>204</v>
      </c>
      <c r="E219" s="465">
        <v>3343</v>
      </c>
      <c r="F219" s="488">
        <f>SUM(G219:H219)</f>
        <v>3342.85</v>
      </c>
      <c r="G219" s="488">
        <v>3342.85</v>
      </c>
      <c r="H219" s="488"/>
      <c r="I219" s="466">
        <f>SUM(F219/E219)</f>
        <v>0.9999551301226443</v>
      </c>
      <c r="J219" s="343"/>
      <c r="K219" s="343"/>
    </row>
    <row r="220" spans="1:11" s="439" customFormat="1" ht="12.75">
      <c r="A220" s="435"/>
      <c r="B220" s="440"/>
      <c r="C220" s="543"/>
      <c r="D220" s="472"/>
      <c r="E220" s="914"/>
      <c r="F220" s="506"/>
      <c r="G220" s="447"/>
      <c r="H220" s="448"/>
      <c r="I220" s="911"/>
      <c r="J220" s="438"/>
      <c r="K220" s="438"/>
    </row>
    <row r="221" spans="1:11" s="439" customFormat="1" ht="12.75">
      <c r="A221" s="435"/>
      <c r="B221" s="440">
        <v>85395</v>
      </c>
      <c r="C221" s="544"/>
      <c r="D221" s="464" t="s">
        <v>49</v>
      </c>
      <c r="E221" s="370">
        <f>SUM(E222:E223)</f>
        <v>729340</v>
      </c>
      <c r="F221" s="357">
        <f>SUM(F222:F223)</f>
        <v>650066.32</v>
      </c>
      <c r="G221" s="357">
        <f>SUM(G222:G223)</f>
        <v>650066.32</v>
      </c>
      <c r="H221" s="357">
        <f>SUM(H222:H223)</f>
        <v>0</v>
      </c>
      <c r="I221" s="52">
        <f>SUM(F221/E221)</f>
        <v>0.89130764801053</v>
      </c>
      <c r="J221" s="438"/>
      <c r="K221" s="438"/>
    </row>
    <row r="222" spans="1:11" s="342" customFormat="1" ht="21" customHeight="1">
      <c r="A222" s="360"/>
      <c r="B222" s="523"/>
      <c r="C222" s="572">
        <v>2008</v>
      </c>
      <c r="D222" s="525" t="s">
        <v>206</v>
      </c>
      <c r="E222" s="526">
        <f>1281679-661740</f>
        <v>619939</v>
      </c>
      <c r="F222" s="573">
        <f>SUM(G222:H222)</f>
        <v>552556.2999999999</v>
      </c>
      <c r="G222" s="573">
        <f>1214295.67-661739.37</f>
        <v>552556.2999999999</v>
      </c>
      <c r="H222" s="677"/>
      <c r="I222" s="52">
        <f>SUM(F222/E222)</f>
        <v>0.891307531870071</v>
      </c>
      <c r="J222" s="574"/>
      <c r="K222" s="343"/>
    </row>
    <row r="223" spans="1:11" s="342" customFormat="1" ht="21" customHeight="1" thickBot="1">
      <c r="A223" s="547"/>
      <c r="B223" s="548"/>
      <c r="C223" s="575">
        <v>2009</v>
      </c>
      <c r="D223" s="483" t="s">
        <v>206</v>
      </c>
      <c r="E223" s="454">
        <f>148325-38924</f>
        <v>109401</v>
      </c>
      <c r="F223" s="576">
        <f>SUM(G223:H223)</f>
        <v>97510.02</v>
      </c>
      <c r="G223" s="577">
        <f>136434.13-38924.11</f>
        <v>97510.02</v>
      </c>
      <c r="H223" s="942"/>
      <c r="I223" s="457">
        <f>SUM(F223/E223)</f>
        <v>0.8913083061397976</v>
      </c>
      <c r="J223" s="574"/>
      <c r="K223" s="343"/>
    </row>
    <row r="224" spans="1:11" s="570" customFormat="1" ht="14.25" customHeight="1" thickTop="1">
      <c r="A224" s="562"/>
      <c r="B224" s="563"/>
      <c r="C224" s="564"/>
      <c r="D224" s="563"/>
      <c r="E224" s="920"/>
      <c r="F224" s="921"/>
      <c r="G224" s="567"/>
      <c r="H224" s="568"/>
      <c r="I224" s="911"/>
      <c r="J224" s="569"/>
      <c r="K224" s="569"/>
    </row>
    <row r="225" spans="1:11" s="342" customFormat="1" ht="14.25" customHeight="1">
      <c r="A225" s="360">
        <v>854</v>
      </c>
      <c r="B225" s="578"/>
      <c r="C225" s="535"/>
      <c r="D225" s="460" t="s">
        <v>209</v>
      </c>
      <c r="E225" s="526">
        <f>SUM(E227)</f>
        <v>120177</v>
      </c>
      <c r="F225" s="391">
        <f>SUM(F227)</f>
        <v>120177</v>
      </c>
      <c r="G225" s="391">
        <f>SUM(G227)</f>
        <v>120177</v>
      </c>
      <c r="H225" s="391">
        <f>SUM(H227)</f>
        <v>0</v>
      </c>
      <c r="I225" s="52">
        <f>SUM(F225/E225)</f>
        <v>1</v>
      </c>
      <c r="J225" s="343"/>
      <c r="K225" s="343"/>
    </row>
    <row r="226" spans="1:11" s="342" customFormat="1" ht="12.75">
      <c r="A226" s="360"/>
      <c r="B226" s="523"/>
      <c r="C226" s="579"/>
      <c r="D226" s="1373" t="s">
        <v>197</v>
      </c>
      <c r="E226" s="917"/>
      <c r="F226" s="528"/>
      <c r="G226" s="580"/>
      <c r="H226" s="568"/>
      <c r="I226" s="911"/>
      <c r="J226" s="343"/>
      <c r="K226" s="343"/>
    </row>
    <row r="227" spans="1:11" s="342" customFormat="1" ht="12.75">
      <c r="A227" s="360"/>
      <c r="B227" s="523">
        <v>85415</v>
      </c>
      <c r="C227" s="572"/>
      <c r="D227" s="1374"/>
      <c r="E227" s="526">
        <f>SUM(E228)</f>
        <v>120177</v>
      </c>
      <c r="F227" s="391">
        <f>SUM(F228)</f>
        <v>120177</v>
      </c>
      <c r="G227" s="391">
        <f>SUM(G228)</f>
        <v>120177</v>
      </c>
      <c r="H227" s="391">
        <f>SUM(H228)</f>
        <v>0</v>
      </c>
      <c r="I227" s="52">
        <f>SUM(F227/E227)</f>
        <v>1</v>
      </c>
      <c r="J227" s="343"/>
      <c r="K227" s="343"/>
    </row>
    <row r="228" spans="1:11" s="342" customFormat="1" ht="26.25" thickBot="1">
      <c r="A228" s="547"/>
      <c r="B228" s="548"/>
      <c r="C228" s="549">
        <v>2030</v>
      </c>
      <c r="D228" s="581" t="s">
        <v>116</v>
      </c>
      <c r="E228" s="502">
        <v>120177</v>
      </c>
      <c r="F228" s="577">
        <f>SUM(G228:H228)</f>
        <v>120177</v>
      </c>
      <c r="G228" s="576">
        <v>120177</v>
      </c>
      <c r="H228" s="939"/>
      <c r="I228" s="479">
        <f>SUM(F228/E228)</f>
        <v>1</v>
      </c>
      <c r="J228" s="343"/>
      <c r="K228" s="343"/>
    </row>
    <row r="229" spans="1:11" s="439" customFormat="1" ht="14.25" customHeight="1" thickTop="1">
      <c r="A229" s="435"/>
      <c r="B229" s="440"/>
      <c r="C229" s="536"/>
      <c r="D229" s="446"/>
      <c r="E229" s="397"/>
      <c r="F229" s="396"/>
      <c r="G229" s="380"/>
      <c r="H229" s="379"/>
      <c r="I229" s="371"/>
      <c r="J229" s="438"/>
      <c r="K229" s="438"/>
    </row>
    <row r="230" spans="1:11" s="439" customFormat="1" ht="14.25" customHeight="1">
      <c r="A230" s="435">
        <v>900</v>
      </c>
      <c r="B230" s="436"/>
      <c r="C230" s="537"/>
      <c r="D230" s="398" t="s">
        <v>22</v>
      </c>
      <c r="E230" s="370">
        <f>E232+E237+E241+E244+E247</f>
        <v>6558985</v>
      </c>
      <c r="F230" s="357">
        <f>F232+F237+F241+F244+F247</f>
        <v>3314233.74</v>
      </c>
      <c r="G230" s="357">
        <f>G232+G237+G241+G244+G247</f>
        <v>2638610.8100000005</v>
      </c>
      <c r="H230" s="357">
        <f>H232+H237+H241+H244+H247</f>
        <v>675622.93</v>
      </c>
      <c r="I230" s="52">
        <f>SUM(F230/E230)</f>
        <v>0.5052967402730758</v>
      </c>
      <c r="J230" s="438"/>
      <c r="K230" s="438"/>
    </row>
    <row r="231" spans="1:11" s="439" customFormat="1" ht="14.25" customHeight="1">
      <c r="A231" s="435"/>
      <c r="B231" s="440"/>
      <c r="C231" s="536"/>
      <c r="D231" s="446"/>
      <c r="E231" s="914"/>
      <c r="F231" s="506"/>
      <c r="G231" s="459"/>
      <c r="H231" s="506"/>
      <c r="I231" s="911"/>
      <c r="J231" s="438"/>
      <c r="K231" s="438"/>
    </row>
    <row r="232" spans="1:11" s="439" customFormat="1" ht="14.25" customHeight="1">
      <c r="A232" s="435"/>
      <c r="B232" s="440">
        <v>90001</v>
      </c>
      <c r="C232" s="537"/>
      <c r="D232" s="398" t="s">
        <v>125</v>
      </c>
      <c r="E232" s="370">
        <f>SUM(E233:E235)</f>
        <v>638800</v>
      </c>
      <c r="F232" s="357">
        <f>SUM(F233:F235)</f>
        <v>38800</v>
      </c>
      <c r="G232" s="357">
        <f>SUM(G233:G235)</f>
        <v>38800</v>
      </c>
      <c r="H232" s="357">
        <f>SUM(H233:H235)</f>
        <v>0</v>
      </c>
      <c r="I232" s="52">
        <f>SUM(F232/E232)</f>
        <v>0.06073888541014402</v>
      </c>
      <c r="J232" s="438"/>
      <c r="K232" s="438"/>
    </row>
    <row r="233" spans="1:11" s="439" customFormat="1" ht="24" customHeight="1">
      <c r="A233" s="435"/>
      <c r="B233" s="440"/>
      <c r="C233" s="545" t="s">
        <v>41</v>
      </c>
      <c r="D233" s="464" t="s">
        <v>42</v>
      </c>
      <c r="E233" s="370">
        <v>38800</v>
      </c>
      <c r="F233" s="443">
        <f>SUM(G233:H233)</f>
        <v>38800</v>
      </c>
      <c r="G233" s="357">
        <v>38800</v>
      </c>
      <c r="H233" s="357"/>
      <c r="I233" s="52">
        <f>SUM(F233/E233)</f>
        <v>1</v>
      </c>
      <c r="J233" s="582"/>
      <c r="K233" s="438"/>
    </row>
    <row r="234" spans="1:11" s="439" customFormat="1" ht="24" customHeight="1">
      <c r="A234" s="435"/>
      <c r="B234" s="440"/>
      <c r="C234" s="545" t="s">
        <v>210</v>
      </c>
      <c r="D234" s="464" t="s">
        <v>211</v>
      </c>
      <c r="E234" s="370">
        <v>500000</v>
      </c>
      <c r="F234" s="443">
        <f>SUM(G234:H234)</f>
        <v>0</v>
      </c>
      <c r="G234" s="357"/>
      <c r="H234" s="357">
        <v>0</v>
      </c>
      <c r="I234" s="52">
        <f>SUM(F234/E234)</f>
        <v>0</v>
      </c>
      <c r="J234" s="582"/>
      <c r="K234" s="438"/>
    </row>
    <row r="235" spans="1:11" s="439" customFormat="1" ht="38.25">
      <c r="A235" s="435"/>
      <c r="B235" s="437"/>
      <c r="C235" s="571">
        <v>6260</v>
      </c>
      <c r="D235" s="469" t="s">
        <v>28</v>
      </c>
      <c r="E235" s="442">
        <v>100000</v>
      </c>
      <c r="F235" s="443">
        <f>SUM(G235:H235)</f>
        <v>0</v>
      </c>
      <c r="G235" s="54"/>
      <c r="H235" s="51">
        <v>0</v>
      </c>
      <c r="I235" s="52">
        <f>SUM(F235/E235)</f>
        <v>0</v>
      </c>
      <c r="J235" s="582"/>
      <c r="K235" s="438"/>
    </row>
    <row r="236" spans="1:11" s="439" customFormat="1" ht="14.25" customHeight="1">
      <c r="A236" s="435"/>
      <c r="B236" s="440"/>
      <c r="C236" s="536"/>
      <c r="D236" s="446"/>
      <c r="E236" s="914"/>
      <c r="F236" s="506"/>
      <c r="G236" s="447"/>
      <c r="H236" s="448"/>
      <c r="I236" s="911"/>
      <c r="J236" s="582"/>
      <c r="K236" s="438"/>
    </row>
    <row r="237" spans="1:11" s="439" customFormat="1" ht="12.75">
      <c r="A237" s="435"/>
      <c r="B237" s="440">
        <v>90002</v>
      </c>
      <c r="C237" s="537"/>
      <c r="D237" s="398" t="s">
        <v>126</v>
      </c>
      <c r="E237" s="370">
        <f>SUM(E238:E239)</f>
        <v>646423</v>
      </c>
      <c r="F237" s="357">
        <f>SUM(F238:F239)</f>
        <v>171423.25</v>
      </c>
      <c r="G237" s="357">
        <f>SUM(G238:G239)</f>
        <v>171423.25</v>
      </c>
      <c r="H237" s="357">
        <f>SUM(H238:H239)</f>
        <v>0</v>
      </c>
      <c r="I237" s="52">
        <f>SUM(F237/E237)</f>
        <v>0.26518742371481213</v>
      </c>
      <c r="J237" s="582"/>
      <c r="K237" s="438"/>
    </row>
    <row r="238" spans="1:11" s="439" customFormat="1" ht="25.5">
      <c r="A238" s="435"/>
      <c r="B238" s="440"/>
      <c r="C238" s="537">
        <v>2910</v>
      </c>
      <c r="D238" s="464" t="s">
        <v>204</v>
      </c>
      <c r="E238" s="370">
        <v>171423</v>
      </c>
      <c r="F238" s="357">
        <f>SUM(G238:H238)</f>
        <v>171423.25</v>
      </c>
      <c r="G238" s="54">
        <v>171423.25</v>
      </c>
      <c r="H238" s="51"/>
      <c r="I238" s="52">
        <f>SUM(F238/E238)</f>
        <v>1.0000014583807306</v>
      </c>
      <c r="J238" s="582"/>
      <c r="K238" s="438"/>
    </row>
    <row r="239" spans="1:11" s="439" customFormat="1" ht="26.25" customHeight="1">
      <c r="A239" s="435"/>
      <c r="B239" s="437"/>
      <c r="C239" s="537">
        <v>6208</v>
      </c>
      <c r="D239" s="464" t="s">
        <v>211</v>
      </c>
      <c r="E239" s="370">
        <v>475000</v>
      </c>
      <c r="F239" s="357">
        <f>SUM(G239:H239)</f>
        <v>0</v>
      </c>
      <c r="G239" s="54"/>
      <c r="H239" s="51">
        <v>0</v>
      </c>
      <c r="I239" s="52">
        <f>SUM(F239/E239)</f>
        <v>0</v>
      </c>
      <c r="J239" s="582"/>
      <c r="K239" s="438"/>
    </row>
    <row r="240" spans="1:11" s="439" customFormat="1" ht="12.75">
      <c r="A240" s="435"/>
      <c r="B240" s="440"/>
      <c r="C240" s="583"/>
      <c r="D240" s="472"/>
      <c r="E240" s="397"/>
      <c r="F240" s="396"/>
      <c r="G240" s="380"/>
      <c r="H240" s="379"/>
      <c r="I240" s="371"/>
      <c r="J240" s="582"/>
      <c r="K240" s="438"/>
    </row>
    <row r="241" spans="1:11" s="439" customFormat="1" ht="12.75">
      <c r="A241" s="435"/>
      <c r="B241" s="440">
        <v>90004</v>
      </c>
      <c r="C241" s="584"/>
      <c r="D241" s="464" t="s">
        <v>128</v>
      </c>
      <c r="E241" s="370">
        <f>SUM(E242)</f>
        <v>1109500</v>
      </c>
      <c r="F241" s="357">
        <f>SUM(F242)</f>
        <v>122463.08</v>
      </c>
      <c r="G241" s="505">
        <f>SUM(G242)</f>
        <v>122463.08</v>
      </c>
      <c r="H241" s="357">
        <f>SUM(H242)</f>
        <v>0</v>
      </c>
      <c r="I241" s="52">
        <f>SUM(F241/E241)</f>
        <v>0.11037681838666066</v>
      </c>
      <c r="J241" s="582"/>
      <c r="K241" s="438"/>
    </row>
    <row r="242" spans="1:11" s="439" customFormat="1" ht="34.5" customHeight="1">
      <c r="A242" s="470"/>
      <c r="B242" s="437"/>
      <c r="C242" s="584" t="s">
        <v>129</v>
      </c>
      <c r="D242" s="464" t="s">
        <v>127</v>
      </c>
      <c r="E242" s="370">
        <v>1109500</v>
      </c>
      <c r="F242" s="445">
        <f>SUM(G242:H242)</f>
        <v>122463.08</v>
      </c>
      <c r="G242" s="511">
        <v>122463.08</v>
      </c>
      <c r="H242" s="540"/>
      <c r="I242" s="52">
        <f>SUM(F242/E242)</f>
        <v>0.11037681838666066</v>
      </c>
      <c r="J242" s="582"/>
      <c r="K242" s="438"/>
    </row>
    <row r="243" spans="1:11" s="439" customFormat="1" ht="12.75">
      <c r="A243" s="435"/>
      <c r="B243" s="440">
        <v>90020</v>
      </c>
      <c r="C243" s="536"/>
      <c r="D243" s="446" t="s">
        <v>130</v>
      </c>
      <c r="E243" s="397"/>
      <c r="F243" s="396"/>
      <c r="G243" s="380"/>
      <c r="H243" s="379"/>
      <c r="I243" s="371"/>
      <c r="J243" s="582"/>
      <c r="K243" s="438"/>
    </row>
    <row r="244" spans="1:11" s="439" customFormat="1" ht="12.75">
      <c r="A244" s="435"/>
      <c r="B244" s="440"/>
      <c r="C244" s="537"/>
      <c r="D244" s="398" t="s">
        <v>131</v>
      </c>
      <c r="E244" s="370">
        <f>SUM(E245)</f>
        <v>50000</v>
      </c>
      <c r="F244" s="357">
        <f>SUM(F245)</f>
        <v>17008.12</v>
      </c>
      <c r="G244" s="505">
        <f>SUM(G245)</f>
        <v>17008.12</v>
      </c>
      <c r="H244" s="357">
        <f>SUM(H245)</f>
        <v>0</v>
      </c>
      <c r="I244" s="52">
        <f>SUM(F244/E244)</f>
        <v>0.3401624</v>
      </c>
      <c r="J244" s="582"/>
      <c r="K244" s="438"/>
    </row>
    <row r="245" spans="1:11" s="439" customFormat="1" ht="25.5" customHeight="1">
      <c r="A245" s="470"/>
      <c r="B245" s="437"/>
      <c r="C245" s="545" t="s">
        <v>132</v>
      </c>
      <c r="D245" s="464" t="s">
        <v>133</v>
      </c>
      <c r="E245" s="442">
        <v>50000</v>
      </c>
      <c r="F245" s="357">
        <f>SUM(G245:H245)</f>
        <v>17008.12</v>
      </c>
      <c r="G245" s="511">
        <v>17008.12</v>
      </c>
      <c r="H245" s="540"/>
      <c r="I245" s="52">
        <f>SUM(F245/E245)</f>
        <v>0.3401624</v>
      </c>
      <c r="J245" s="582"/>
      <c r="K245" s="438"/>
    </row>
    <row r="246" spans="1:11" s="439" customFormat="1" ht="14.25" customHeight="1">
      <c r="A246" s="435"/>
      <c r="B246" s="440"/>
      <c r="C246" s="536"/>
      <c r="D246" s="446"/>
      <c r="E246" s="503"/>
      <c r="F246" s="379"/>
      <c r="G246" s="383"/>
      <c r="H246" s="590"/>
      <c r="I246" s="371"/>
      <c r="J246" s="582"/>
      <c r="K246" s="438"/>
    </row>
    <row r="247" spans="1:11" s="439" customFormat="1" ht="14.25" customHeight="1">
      <c r="A247" s="435"/>
      <c r="B247" s="440">
        <v>90095</v>
      </c>
      <c r="C247" s="537"/>
      <c r="D247" s="398" t="s">
        <v>49</v>
      </c>
      <c r="E247" s="595">
        <f>SUM(E248:E261)-E252</f>
        <v>4114262</v>
      </c>
      <c r="F247" s="954">
        <f>SUM(F248:F261)-F252</f>
        <v>2964539.29</v>
      </c>
      <c r="G247" s="505">
        <f>SUM(G248:G261)-G252</f>
        <v>2288916.3600000003</v>
      </c>
      <c r="H247" s="954">
        <f>SUM(H248:H261)-H252</f>
        <v>675622.93</v>
      </c>
      <c r="I247" s="52">
        <f aca="true" t="shared" si="10" ref="I247:I261">SUM(F247/E247)</f>
        <v>0.7205518972782968</v>
      </c>
      <c r="J247" s="582"/>
      <c r="K247" s="438"/>
    </row>
    <row r="248" spans="1:11" s="439" customFormat="1" ht="25.5" customHeight="1">
      <c r="A248" s="435"/>
      <c r="B248" s="440"/>
      <c r="C248" s="587" t="s">
        <v>33</v>
      </c>
      <c r="D248" s="469" t="s">
        <v>34</v>
      </c>
      <c r="E248" s="370">
        <v>895000</v>
      </c>
      <c r="F248" s="445">
        <f aca="true" t="shared" si="11" ref="F248:F261">SUM(G248:H248)</f>
        <v>1338783.87</v>
      </c>
      <c r="G248" s="54">
        <v>1338783.87</v>
      </c>
      <c r="H248" s="588"/>
      <c r="I248" s="52">
        <f t="shared" si="10"/>
        <v>1.495847899441341</v>
      </c>
      <c r="J248" s="582"/>
      <c r="K248" s="438"/>
    </row>
    <row r="249" spans="1:11" s="439" customFormat="1" ht="34.5" customHeight="1">
      <c r="A249" s="435"/>
      <c r="B249" s="440"/>
      <c r="C249" s="587" t="s">
        <v>96</v>
      </c>
      <c r="D249" s="469" t="s">
        <v>97</v>
      </c>
      <c r="E249" s="370">
        <v>126000</v>
      </c>
      <c r="F249" s="445">
        <f t="shared" si="11"/>
        <v>107996.41</v>
      </c>
      <c r="G249" s="54">
        <v>107996.41</v>
      </c>
      <c r="H249" s="589"/>
      <c r="I249" s="52">
        <f t="shared" si="10"/>
        <v>0.8571143650793651</v>
      </c>
      <c r="J249" s="582"/>
      <c r="K249" s="438"/>
    </row>
    <row r="250" spans="1:11" s="439" customFormat="1" ht="26.25" customHeight="1">
      <c r="A250" s="435"/>
      <c r="B250" s="440"/>
      <c r="C250" s="587" t="s">
        <v>71</v>
      </c>
      <c r="D250" s="469" t="s">
        <v>72</v>
      </c>
      <c r="E250" s="370">
        <v>246</v>
      </c>
      <c r="F250" s="445">
        <f t="shared" si="11"/>
        <v>2187.86</v>
      </c>
      <c r="G250" s="380">
        <v>2187.86</v>
      </c>
      <c r="H250" s="590"/>
      <c r="I250" s="52">
        <f t="shared" si="10"/>
        <v>8.893739837398375</v>
      </c>
      <c r="J250" s="582"/>
      <c r="K250" s="438"/>
    </row>
    <row r="251" spans="1:11" s="439" customFormat="1" ht="38.25">
      <c r="A251" s="486"/>
      <c r="B251" s="437"/>
      <c r="C251" s="587" t="s">
        <v>117</v>
      </c>
      <c r="D251" s="469" t="s">
        <v>118</v>
      </c>
      <c r="E251" s="370">
        <f>580057+293000+15000</f>
        <v>888057</v>
      </c>
      <c r="F251" s="445">
        <f t="shared" si="11"/>
        <v>799068.11</v>
      </c>
      <c r="G251" s="54">
        <v>799068.11</v>
      </c>
      <c r="H251" s="588"/>
      <c r="I251" s="52">
        <f t="shared" si="10"/>
        <v>0.8997937181960167</v>
      </c>
      <c r="J251" s="582"/>
      <c r="K251" s="438"/>
    </row>
    <row r="252" spans="1:11" s="355" customFormat="1" ht="14.25" customHeight="1">
      <c r="A252" s="490">
        <v>1</v>
      </c>
      <c r="B252" s="491">
        <v>2</v>
      </c>
      <c r="C252" s="492">
        <v>3</v>
      </c>
      <c r="D252" s="491">
        <v>4</v>
      </c>
      <c r="E252" s="492">
        <v>5</v>
      </c>
      <c r="F252" s="494">
        <v>6</v>
      </c>
      <c r="G252" s="493">
        <v>7</v>
      </c>
      <c r="H252" s="494">
        <v>8</v>
      </c>
      <c r="I252" s="495">
        <v>9</v>
      </c>
      <c r="J252" s="354"/>
      <c r="K252" s="354"/>
    </row>
    <row r="253" spans="1:11" s="439" customFormat="1" ht="33.75" customHeight="1">
      <c r="A253" s="435"/>
      <c r="B253" s="440"/>
      <c r="C253" s="587" t="s">
        <v>35</v>
      </c>
      <c r="D253" s="464" t="s">
        <v>36</v>
      </c>
      <c r="E253" s="370">
        <v>14000</v>
      </c>
      <c r="F253" s="505">
        <f t="shared" si="11"/>
        <v>11037.05</v>
      </c>
      <c r="G253" s="54"/>
      <c r="H253" s="588">
        <v>11037.05</v>
      </c>
      <c r="I253" s="52">
        <f t="shared" si="10"/>
        <v>0.7883607142857142</v>
      </c>
      <c r="J253" s="582"/>
      <c r="K253" s="438"/>
    </row>
    <row r="254" spans="1:11" s="439" customFormat="1" ht="33.75" customHeight="1">
      <c r="A254" s="435"/>
      <c r="B254" s="440"/>
      <c r="C254" s="557" t="s">
        <v>37</v>
      </c>
      <c r="D254" s="469" t="s">
        <v>38</v>
      </c>
      <c r="E254" s="370">
        <v>1136000</v>
      </c>
      <c r="F254" s="505">
        <f t="shared" si="11"/>
        <v>664585.88</v>
      </c>
      <c r="G254" s="380"/>
      <c r="H254" s="590">
        <v>664585.88</v>
      </c>
      <c r="I254" s="52">
        <f t="shared" si="10"/>
        <v>0.5850227816901409</v>
      </c>
      <c r="J254" s="582"/>
      <c r="K254" s="438"/>
    </row>
    <row r="255" spans="1:11" s="439" customFormat="1" ht="25.5" customHeight="1">
      <c r="A255" s="435"/>
      <c r="B255" s="440"/>
      <c r="C255" s="557" t="s">
        <v>123</v>
      </c>
      <c r="D255" s="558" t="s">
        <v>124</v>
      </c>
      <c r="E255" s="370">
        <v>15000</v>
      </c>
      <c r="F255" s="505">
        <f t="shared" si="11"/>
        <v>6914</v>
      </c>
      <c r="G255" s="54">
        <v>6914</v>
      </c>
      <c r="H255" s="588"/>
      <c r="I255" s="52">
        <f t="shared" si="10"/>
        <v>0.4609333333333333</v>
      </c>
      <c r="J255" s="582"/>
      <c r="K255" s="438"/>
    </row>
    <row r="256" spans="1:11" s="439" customFormat="1" ht="25.5" customHeight="1">
      <c r="A256" s="435"/>
      <c r="B256" s="440"/>
      <c r="C256" s="587" t="s">
        <v>39</v>
      </c>
      <c r="D256" s="469" t="s">
        <v>40</v>
      </c>
      <c r="E256" s="370">
        <f>2500+10000</f>
        <v>12500</v>
      </c>
      <c r="F256" s="505">
        <f t="shared" si="11"/>
        <v>21568.72</v>
      </c>
      <c r="G256" s="54">
        <v>21568.72</v>
      </c>
      <c r="H256" s="588"/>
      <c r="I256" s="52">
        <f t="shared" si="10"/>
        <v>1.7254976000000002</v>
      </c>
      <c r="J256" s="582"/>
      <c r="K256" s="438"/>
    </row>
    <row r="257" spans="1:11" s="439" customFormat="1" ht="25.5" customHeight="1">
      <c r="A257" s="435"/>
      <c r="B257" s="440"/>
      <c r="C257" s="554" t="s">
        <v>41</v>
      </c>
      <c r="D257" s="469" t="s">
        <v>42</v>
      </c>
      <c r="E257" s="370">
        <f>5500+2000</f>
        <v>7500</v>
      </c>
      <c r="F257" s="505">
        <f t="shared" si="11"/>
        <v>12397.39</v>
      </c>
      <c r="G257" s="380">
        <v>12397.39</v>
      </c>
      <c r="H257" s="590"/>
      <c r="I257" s="52">
        <f t="shared" si="10"/>
        <v>1.6529853333333333</v>
      </c>
      <c r="J257" s="582"/>
      <c r="K257" s="438"/>
    </row>
    <row r="258" spans="1:11" s="439" customFormat="1" ht="25.5" customHeight="1">
      <c r="A258" s="435"/>
      <c r="B258" s="440"/>
      <c r="C258" s="554" t="s">
        <v>129</v>
      </c>
      <c r="D258" s="469" t="s">
        <v>127</v>
      </c>
      <c r="E258" s="442">
        <v>211000</v>
      </c>
      <c r="F258" s="445">
        <f t="shared" si="11"/>
        <v>0</v>
      </c>
      <c r="G258" s="54">
        <v>0</v>
      </c>
      <c r="H258" s="588"/>
      <c r="I258" s="466">
        <f t="shared" si="10"/>
        <v>0</v>
      </c>
      <c r="J258" s="582"/>
      <c r="K258" s="438"/>
    </row>
    <row r="259" spans="1:11" s="439" customFormat="1" ht="40.5" customHeight="1">
      <c r="A259" s="435"/>
      <c r="B259" s="440"/>
      <c r="C259" s="554" t="s">
        <v>113</v>
      </c>
      <c r="D259" s="464" t="s">
        <v>28</v>
      </c>
      <c r="E259" s="465">
        <v>250000</v>
      </c>
      <c r="F259" s="505">
        <f>SUM(G259:H259)</f>
        <v>0</v>
      </c>
      <c r="G259" s="54"/>
      <c r="H259" s="588">
        <v>0</v>
      </c>
      <c r="I259" s="52">
        <f>SUM(F259/E259)</f>
        <v>0</v>
      </c>
      <c r="J259" s="582"/>
      <c r="K259" s="438"/>
    </row>
    <row r="260" spans="1:11" s="439" customFormat="1" ht="45.75" customHeight="1">
      <c r="A260" s="435"/>
      <c r="B260" s="440"/>
      <c r="C260" s="537">
        <v>6269</v>
      </c>
      <c r="D260" s="464" t="s">
        <v>28</v>
      </c>
      <c r="E260" s="442">
        <v>112542</v>
      </c>
      <c r="F260" s="505">
        <f>SUM(G260:H260)</f>
        <v>0</v>
      </c>
      <c r="G260" s="54"/>
      <c r="H260" s="588">
        <v>0</v>
      </c>
      <c r="I260" s="52">
        <f>SUM(F260/E260)</f>
        <v>0</v>
      </c>
      <c r="J260" s="582"/>
      <c r="K260" s="438"/>
    </row>
    <row r="261" spans="1:11" s="439" customFormat="1" ht="35.25" customHeight="1" thickBot="1">
      <c r="A261" s="450"/>
      <c r="B261" s="451"/>
      <c r="C261" s="591">
        <v>6298</v>
      </c>
      <c r="D261" s="453" t="s">
        <v>29</v>
      </c>
      <c r="E261" s="484">
        <v>446417</v>
      </c>
      <c r="F261" s="592">
        <f t="shared" si="11"/>
        <v>0</v>
      </c>
      <c r="G261" s="478"/>
      <c r="H261" s="593">
        <v>0</v>
      </c>
      <c r="I261" s="479">
        <f t="shared" si="10"/>
        <v>0</v>
      </c>
      <c r="J261" s="582"/>
      <c r="K261" s="438"/>
    </row>
    <row r="262" spans="1:11" s="439" customFormat="1" ht="14.25" customHeight="1" thickTop="1">
      <c r="A262" s="435"/>
      <c r="B262" s="440"/>
      <c r="C262" s="536"/>
      <c r="D262" s="446"/>
      <c r="E262" s="594"/>
      <c r="F262" s="533"/>
      <c r="G262" s="380"/>
      <c r="H262" s="590"/>
      <c r="I262" s="371"/>
      <c r="J262" s="438"/>
      <c r="K262" s="438"/>
    </row>
    <row r="263" spans="1:11" s="439" customFormat="1" ht="13.5" customHeight="1">
      <c r="A263" s="435">
        <v>921</v>
      </c>
      <c r="B263" s="437"/>
      <c r="C263" s="537"/>
      <c r="D263" s="398" t="s">
        <v>23</v>
      </c>
      <c r="E263" s="586">
        <f>SUM(E265)+E268</f>
        <v>250613</v>
      </c>
      <c r="F263" s="357">
        <f>SUM(F265)+F268</f>
        <v>613.19</v>
      </c>
      <c r="G263" s="357">
        <f>SUM(G265)+G268</f>
        <v>613.19</v>
      </c>
      <c r="H263" s="505">
        <f>SUM(H265)+H268</f>
        <v>0</v>
      </c>
      <c r="I263" s="52">
        <f>SUM(F263/E263)</f>
        <v>0.002446760543148201</v>
      </c>
      <c r="J263" s="438"/>
      <c r="K263" s="438"/>
    </row>
    <row r="264" spans="1:11" s="439" customFormat="1" ht="14.25" customHeight="1">
      <c r="A264" s="435"/>
      <c r="B264" s="440"/>
      <c r="C264" s="536"/>
      <c r="D264" s="446"/>
      <c r="E264" s="594"/>
      <c r="F264" s="533"/>
      <c r="G264" s="533"/>
      <c r="H264" s="940"/>
      <c r="I264" s="371"/>
      <c r="J264" s="438"/>
      <c r="K264" s="438"/>
    </row>
    <row r="265" spans="1:11" s="439" customFormat="1" ht="14.25" customHeight="1">
      <c r="A265" s="435"/>
      <c r="B265" s="440">
        <v>92109</v>
      </c>
      <c r="C265" s="537"/>
      <c r="D265" s="398" t="s">
        <v>134</v>
      </c>
      <c r="E265" s="595">
        <f>E266</f>
        <v>613</v>
      </c>
      <c r="F265" s="505">
        <f>F266</f>
        <v>613.19</v>
      </c>
      <c r="G265" s="505">
        <f>G266</f>
        <v>613.19</v>
      </c>
      <c r="H265" s="505">
        <f>H266</f>
        <v>0</v>
      </c>
      <c r="I265" s="52">
        <f>SUM(F265/E265)</f>
        <v>1.000309951060359</v>
      </c>
      <c r="J265" s="438"/>
      <c r="K265" s="438"/>
    </row>
    <row r="266" spans="1:11" s="439" customFormat="1" ht="26.25" customHeight="1">
      <c r="A266" s="435"/>
      <c r="B266" s="440"/>
      <c r="C266" s="554" t="s">
        <v>41</v>
      </c>
      <c r="D266" s="469" t="s">
        <v>42</v>
      </c>
      <c r="E266" s="442">
        <v>613</v>
      </c>
      <c r="F266" s="445">
        <f>SUM(G266:H266)</f>
        <v>613.19</v>
      </c>
      <c r="G266" s="445">
        <v>613.19</v>
      </c>
      <c r="H266" s="941"/>
      <c r="I266" s="466">
        <f>SUM(F266/E266)</f>
        <v>1.000309951060359</v>
      </c>
      <c r="J266" s="438"/>
      <c r="K266" s="438"/>
    </row>
    <row r="267" spans="1:11" s="439" customFormat="1" ht="14.25" customHeight="1">
      <c r="A267" s="435"/>
      <c r="B267" s="508"/>
      <c r="C267" s="543"/>
      <c r="D267" s="446"/>
      <c r="E267" s="594"/>
      <c r="F267" s="533"/>
      <c r="G267" s="533"/>
      <c r="H267" s="940"/>
      <c r="I267" s="371"/>
      <c r="J267" s="438"/>
      <c r="K267" s="438"/>
    </row>
    <row r="268" spans="1:11" s="439" customFormat="1" ht="14.25" customHeight="1">
      <c r="A268" s="435"/>
      <c r="B268" s="440">
        <v>92120</v>
      </c>
      <c r="C268" s="544"/>
      <c r="D268" s="398" t="s">
        <v>198</v>
      </c>
      <c r="E268" s="595">
        <f>SUM(E269:E269)</f>
        <v>250000</v>
      </c>
      <c r="F268" s="505">
        <f>SUM(F269:F269)</f>
        <v>0</v>
      </c>
      <c r="G268" s="505">
        <f>SUM(G269:G269)</f>
        <v>0</v>
      </c>
      <c r="H268" s="505">
        <f>SUM(H269:H269)</f>
        <v>0</v>
      </c>
      <c r="I268" s="52">
        <f>SUM(F268/E268)</f>
        <v>0</v>
      </c>
      <c r="J268" s="438"/>
      <c r="K268" s="438"/>
    </row>
    <row r="269" spans="1:11" s="342" customFormat="1" ht="48" customHeight="1" thickBot="1">
      <c r="A269" s="1288"/>
      <c r="B269" s="1289"/>
      <c r="C269" s="1290">
        <v>6300</v>
      </c>
      <c r="D269" s="1291" t="s">
        <v>213</v>
      </c>
      <c r="E269" s="1292">
        <v>250000</v>
      </c>
      <c r="F269" s="1293">
        <f>SUM(G269:H269)</f>
        <v>0</v>
      </c>
      <c r="G269" s="1293"/>
      <c r="H269" s="1293">
        <v>0</v>
      </c>
      <c r="I269" s="1294">
        <f>SUM(F269/E269)</f>
        <v>0</v>
      </c>
      <c r="J269" s="343"/>
      <c r="K269" s="343"/>
    </row>
    <row r="270" spans="1:9" ht="14.25" customHeight="1">
      <c r="A270" s="1285"/>
      <c r="B270" s="440"/>
      <c r="C270" s="536"/>
      <c r="D270" s="361"/>
      <c r="E270" s="1286"/>
      <c r="F270" s="1287"/>
      <c r="G270" s="387"/>
      <c r="H270" s="338"/>
      <c r="I270" s="371"/>
    </row>
    <row r="271" spans="1:11" s="602" customFormat="1" ht="25.5" customHeight="1" thickBot="1">
      <c r="A271" s="597"/>
      <c r="B271" s="598"/>
      <c r="C271" s="599"/>
      <c r="D271" s="600" t="s">
        <v>135</v>
      </c>
      <c r="E271" s="409">
        <f>E50+E58+E71+E76+E90+E96+E145+E159+E185+E192+E217+E225+E230+E263</f>
        <v>99977595</v>
      </c>
      <c r="F271" s="409">
        <f>F50+F58+F71+F76+F90+F96+F145+F159+F185+F192+F217+F225+F230+F263</f>
        <v>66430768.25000001</v>
      </c>
      <c r="G271" s="409">
        <f>G50+G58+G71+G76+G90+G96+G145+G159+G185+G192+G217+G225+G230+G263</f>
        <v>63719960.21000001</v>
      </c>
      <c r="H271" s="409">
        <f>H50+H58+H71+H76+H90+H96+H145+H159+H185+H192+H217+H225+H230+H263</f>
        <v>2710808.04</v>
      </c>
      <c r="I271" s="410">
        <f>F271/E271</f>
        <v>0.6644565539909217</v>
      </c>
      <c r="J271" s="601"/>
      <c r="K271" s="601"/>
    </row>
    <row r="272" spans="1:11" s="607" customFormat="1" ht="14.25" customHeight="1">
      <c r="A272" s="603"/>
      <c r="B272" s="543"/>
      <c r="C272" s="603"/>
      <c r="D272" s="417"/>
      <c r="E272" s="922"/>
      <c r="F272" s="915"/>
      <c r="G272" s="604"/>
      <c r="H272" s="604"/>
      <c r="I272" s="923"/>
      <c r="J272" s="605"/>
      <c r="K272" s="606"/>
    </row>
    <row r="273" spans="1:9" s="69" customFormat="1" ht="14.25" customHeight="1">
      <c r="A273" s="1375" t="s">
        <v>260</v>
      </c>
      <c r="B273" s="1375"/>
      <c r="C273" s="1375"/>
      <c r="D273" s="1375"/>
      <c r="E273" s="1375"/>
      <c r="F273" s="1375"/>
      <c r="G273" s="1375"/>
      <c r="H273" s="67"/>
      <c r="I273" s="68"/>
    </row>
    <row r="274" spans="1:9" ht="14.25" customHeight="1">
      <c r="A274" s="1346"/>
      <c r="B274" s="1346"/>
      <c r="C274" s="1346"/>
      <c r="D274" s="1346"/>
      <c r="E274" s="1346"/>
      <c r="F274" s="1346"/>
      <c r="G274" s="1346"/>
      <c r="H274" s="1346"/>
      <c r="I274" s="1346"/>
    </row>
    <row r="275" spans="1:9" ht="14.25" customHeight="1" thickBot="1">
      <c r="A275" s="609"/>
      <c r="B275" s="610"/>
      <c r="C275" s="611"/>
      <c r="D275" s="610"/>
      <c r="E275" s="924"/>
      <c r="F275" s="924"/>
      <c r="G275" s="612"/>
      <c r="H275" s="421"/>
      <c r="I275" s="422" t="s">
        <v>0</v>
      </c>
    </row>
    <row r="276" spans="1:11" s="613" customFormat="1" ht="14.25" customHeight="1">
      <c r="A276" s="1347" t="s">
        <v>1</v>
      </c>
      <c r="B276" s="1349" t="s">
        <v>25</v>
      </c>
      <c r="C276" s="1349" t="s">
        <v>26</v>
      </c>
      <c r="D276" s="1349" t="s">
        <v>27</v>
      </c>
      <c r="E276" s="1360" t="s">
        <v>3</v>
      </c>
      <c r="F276" s="1340" t="s">
        <v>202</v>
      </c>
      <c r="G276" s="1342" t="s">
        <v>4</v>
      </c>
      <c r="H276" s="1343"/>
      <c r="I276" s="1344" t="s">
        <v>216</v>
      </c>
      <c r="J276" s="423"/>
      <c r="K276" s="423"/>
    </row>
    <row r="277" spans="1:11" s="614" customFormat="1" ht="12.75">
      <c r="A277" s="1348"/>
      <c r="B277" s="1350"/>
      <c r="C277" s="1350"/>
      <c r="D277" s="1350"/>
      <c r="E277" s="1362"/>
      <c r="F277" s="1341"/>
      <c r="G277" s="345" t="s">
        <v>5</v>
      </c>
      <c r="H277" s="346" t="s">
        <v>6</v>
      </c>
      <c r="I277" s="1345"/>
      <c r="J277" s="425"/>
      <c r="K277" s="425"/>
    </row>
    <row r="278" spans="1:11" s="434" customFormat="1" ht="12" thickBot="1">
      <c r="A278" s="348">
        <v>1</v>
      </c>
      <c r="B278" s="427">
        <v>2</v>
      </c>
      <c r="C278" s="427">
        <v>3</v>
      </c>
      <c r="D278" s="427">
        <v>4</v>
      </c>
      <c r="E278" s="615">
        <v>5</v>
      </c>
      <c r="F278" s="616">
        <v>6</v>
      </c>
      <c r="G278" s="430">
        <v>7</v>
      </c>
      <c r="H278" s="616">
        <v>8</v>
      </c>
      <c r="I278" s="432">
        <v>9</v>
      </c>
      <c r="J278" s="433"/>
      <c r="K278" s="433"/>
    </row>
    <row r="279" spans="1:11" s="439" customFormat="1" ht="12.75">
      <c r="A279" s="458"/>
      <c r="B279" s="617"/>
      <c r="C279" s="618"/>
      <c r="D279" s="617"/>
      <c r="E279" s="619"/>
      <c r="F279" s="620"/>
      <c r="G279" s="365"/>
      <c r="H279" s="379"/>
      <c r="I279" s="621"/>
      <c r="J279" s="438"/>
      <c r="K279" s="438"/>
    </row>
    <row r="280" spans="1:11" s="439" customFormat="1" ht="14.25" customHeight="1">
      <c r="A280" s="622" t="s">
        <v>186</v>
      </c>
      <c r="B280" s="436"/>
      <c r="C280" s="623"/>
      <c r="D280" s="398" t="s">
        <v>187</v>
      </c>
      <c r="E280" s="540">
        <f>SUM(E282)</f>
        <v>11327.57</v>
      </c>
      <c r="F280" s="540">
        <f>SUM(F282)</f>
        <v>11327.57</v>
      </c>
      <c r="G280" s="540">
        <f>SUM(G282)</f>
        <v>11327.57</v>
      </c>
      <c r="H280" s="540">
        <f>SUM(H282)</f>
        <v>0</v>
      </c>
      <c r="I280" s="52">
        <f>SUM(F280/E280)</f>
        <v>1</v>
      </c>
      <c r="J280" s="438"/>
      <c r="K280" s="438"/>
    </row>
    <row r="281" spans="1:11" s="439" customFormat="1" ht="9" customHeight="1">
      <c r="A281" s="435"/>
      <c r="B281" s="440"/>
      <c r="C281" s="509"/>
      <c r="D281" s="446"/>
      <c r="E281" s="379"/>
      <c r="F281" s="379"/>
      <c r="G281" s="380"/>
      <c r="H281" s="379"/>
      <c r="I281" s="371"/>
      <c r="J281" s="438"/>
      <c r="K281" s="438"/>
    </row>
    <row r="282" spans="1:11" s="439" customFormat="1" ht="14.25" customHeight="1">
      <c r="A282" s="435"/>
      <c r="B282" s="467" t="s">
        <v>189</v>
      </c>
      <c r="C282" s="510"/>
      <c r="D282" s="398" t="s">
        <v>49</v>
      </c>
      <c r="E282" s="540">
        <f>SUM(E285)</f>
        <v>11327.57</v>
      </c>
      <c r="F282" s="540">
        <f>SUM(F285)</f>
        <v>11327.57</v>
      </c>
      <c r="G282" s="511">
        <f>SUM(G285)</f>
        <v>11327.57</v>
      </c>
      <c r="H282" s="540">
        <f>SUM(H285)</f>
        <v>0</v>
      </c>
      <c r="I282" s="52">
        <f>SUM(F282/E282)</f>
        <v>1</v>
      </c>
      <c r="J282" s="438"/>
      <c r="K282" s="438"/>
    </row>
    <row r="283" spans="1:11" s="439" customFormat="1" ht="14.25" customHeight="1">
      <c r="A283" s="435"/>
      <c r="B283" s="467"/>
      <c r="C283" s="624">
        <v>2010</v>
      </c>
      <c r="D283" s="446" t="s">
        <v>136</v>
      </c>
      <c r="E283" s="379"/>
      <c r="F283" s="379"/>
      <c r="G283" s="380"/>
      <c r="H283" s="379"/>
      <c r="I283" s="371"/>
      <c r="J283" s="438"/>
      <c r="K283" s="438"/>
    </row>
    <row r="284" spans="1:11" s="439" customFormat="1" ht="14.25" customHeight="1">
      <c r="A284" s="435"/>
      <c r="B284" s="467"/>
      <c r="C284" s="624"/>
      <c r="D284" s="446" t="s">
        <v>137</v>
      </c>
      <c r="E284" s="379"/>
      <c r="F284" s="379"/>
      <c r="G284" s="380"/>
      <c r="H284" s="379"/>
      <c r="I284" s="371"/>
      <c r="J284" s="438"/>
      <c r="K284" s="438"/>
    </row>
    <row r="285" spans="1:11" s="439" customFormat="1" ht="14.25" customHeight="1" thickBot="1">
      <c r="A285" s="450"/>
      <c r="B285" s="451"/>
      <c r="C285" s="561"/>
      <c r="D285" s="625" t="s">
        <v>138</v>
      </c>
      <c r="E285" s="626">
        <v>11327.57</v>
      </c>
      <c r="F285" s="626">
        <f>SUM(G285:H285)</f>
        <v>11327.57</v>
      </c>
      <c r="G285" s="456">
        <v>11327.57</v>
      </c>
      <c r="H285" s="626"/>
      <c r="I285" s="479">
        <f>SUM(F285/E285)</f>
        <v>1</v>
      </c>
      <c r="J285" s="438"/>
      <c r="K285" s="438"/>
    </row>
    <row r="286" spans="1:11" s="439" customFormat="1" ht="13.5" thickTop="1">
      <c r="A286" s="458"/>
      <c r="B286" s="617"/>
      <c r="C286" s="618"/>
      <c r="D286" s="617"/>
      <c r="E286" s="927"/>
      <c r="F286" s="925"/>
      <c r="G286" s="627"/>
      <c r="H286" s="448"/>
      <c r="I286" s="926"/>
      <c r="J286" s="438"/>
      <c r="K286" s="438"/>
    </row>
    <row r="287" spans="1:11" s="439" customFormat="1" ht="14.25" customHeight="1">
      <c r="A287" s="435">
        <v>750</v>
      </c>
      <c r="B287" s="436"/>
      <c r="C287" s="623"/>
      <c r="D287" s="398" t="s">
        <v>9</v>
      </c>
      <c r="E287" s="553">
        <f>SUM(E289)</f>
        <v>305000</v>
      </c>
      <c r="F287" s="540">
        <f>SUM(F289)</f>
        <v>223151</v>
      </c>
      <c r="G287" s="511">
        <f>SUM(G289)</f>
        <v>223151</v>
      </c>
      <c r="H287" s="540">
        <f>SUM(H289)</f>
        <v>0</v>
      </c>
      <c r="I287" s="52">
        <f>SUM(F287/E287)</f>
        <v>0.7316426229508197</v>
      </c>
      <c r="J287" s="438"/>
      <c r="K287" s="438"/>
    </row>
    <row r="288" spans="1:11" s="439" customFormat="1" ht="9" customHeight="1">
      <c r="A288" s="435"/>
      <c r="B288" s="440"/>
      <c r="C288" s="509"/>
      <c r="D288" s="446"/>
      <c r="E288" s="378"/>
      <c r="F288" s="379"/>
      <c r="G288" s="380"/>
      <c r="H288" s="379"/>
      <c r="I288" s="371"/>
      <c r="J288" s="438"/>
      <c r="K288" s="438"/>
    </row>
    <row r="289" spans="1:11" s="439" customFormat="1" ht="14.25" customHeight="1">
      <c r="A289" s="435"/>
      <c r="B289" s="440">
        <v>75011</v>
      </c>
      <c r="C289" s="481"/>
      <c r="D289" s="398" t="s">
        <v>43</v>
      </c>
      <c r="E289" s="553">
        <f>SUM(E292)</f>
        <v>305000</v>
      </c>
      <c r="F289" s="540">
        <f>SUM(F292)</f>
        <v>223151</v>
      </c>
      <c r="G289" s="511">
        <f>SUM(G292)</f>
        <v>223151</v>
      </c>
      <c r="H289" s="540">
        <f>SUM(H292)</f>
        <v>0</v>
      </c>
      <c r="I289" s="52">
        <f>SUM(F289/E289)</f>
        <v>0.7316426229508197</v>
      </c>
      <c r="J289" s="438"/>
      <c r="K289" s="438"/>
    </row>
    <row r="290" spans="1:11" s="439" customFormat="1" ht="14.25" customHeight="1">
      <c r="A290" s="435"/>
      <c r="B290" s="440"/>
      <c r="C290" s="509">
        <v>2010</v>
      </c>
      <c r="D290" s="446" t="s">
        <v>136</v>
      </c>
      <c r="E290" s="378"/>
      <c r="F290" s="379"/>
      <c r="G290" s="380"/>
      <c r="H290" s="379"/>
      <c r="I290" s="371"/>
      <c r="J290" s="438"/>
      <c r="K290" s="438"/>
    </row>
    <row r="291" spans="1:11" s="439" customFormat="1" ht="14.25" customHeight="1">
      <c r="A291" s="435"/>
      <c r="B291" s="440"/>
      <c r="C291" s="509"/>
      <c r="D291" s="446" t="s">
        <v>137</v>
      </c>
      <c r="E291" s="378"/>
      <c r="F291" s="379"/>
      <c r="G291" s="380"/>
      <c r="H291" s="379"/>
      <c r="I291" s="371"/>
      <c r="J291" s="438"/>
      <c r="K291" s="438"/>
    </row>
    <row r="292" spans="1:11" s="439" customFormat="1" ht="14.25" customHeight="1" thickBot="1">
      <c r="A292" s="450"/>
      <c r="B292" s="451"/>
      <c r="C292" s="561"/>
      <c r="D292" s="625" t="s">
        <v>138</v>
      </c>
      <c r="E292" s="628">
        <v>305000</v>
      </c>
      <c r="F292" s="626">
        <f>SUM(G291:H292)</f>
        <v>223151</v>
      </c>
      <c r="G292" s="456">
        <v>223151</v>
      </c>
      <c r="H292" s="626"/>
      <c r="I292" s="479">
        <f>SUM(F292/E292)</f>
        <v>0.7316426229508197</v>
      </c>
      <c r="J292" s="438"/>
      <c r="K292" s="438"/>
    </row>
    <row r="293" spans="1:11" s="439" customFormat="1" ht="9" customHeight="1" thickTop="1">
      <c r="A293" s="435"/>
      <c r="B293" s="440"/>
      <c r="C293" s="509"/>
      <c r="D293" s="446"/>
      <c r="E293" s="378"/>
      <c r="F293" s="379"/>
      <c r="G293" s="380"/>
      <c r="H293" s="379"/>
      <c r="I293" s="371"/>
      <c r="J293" s="438"/>
      <c r="K293" s="438"/>
    </row>
    <row r="294" spans="1:11" s="439" customFormat="1" ht="14.25" customHeight="1">
      <c r="A294" s="435">
        <v>751</v>
      </c>
      <c r="B294" s="504"/>
      <c r="C294" s="618"/>
      <c r="D294" s="446" t="s">
        <v>139</v>
      </c>
      <c r="E294" s="378"/>
      <c r="F294" s="379"/>
      <c r="G294" s="380"/>
      <c r="H294" s="379"/>
      <c r="I294" s="371"/>
      <c r="J294" s="438"/>
      <c r="K294" s="438"/>
    </row>
    <row r="295" spans="1:11" s="439" customFormat="1" ht="14.25" customHeight="1">
      <c r="A295" s="435"/>
      <c r="B295" s="436"/>
      <c r="C295" s="623"/>
      <c r="D295" s="398" t="s">
        <v>11</v>
      </c>
      <c r="E295" s="553">
        <f>SUM(E298)+E302</f>
        <v>53320</v>
      </c>
      <c r="F295" s="540">
        <f>SUM(F298)+F302</f>
        <v>51640</v>
      </c>
      <c r="G295" s="540">
        <f>SUM(G298)+G302</f>
        <v>51640</v>
      </c>
      <c r="H295" s="540">
        <f>SUM(H298)+H302</f>
        <v>0</v>
      </c>
      <c r="I295" s="52">
        <f>SUM(F295/E295)</f>
        <v>0.9684921230307577</v>
      </c>
      <c r="J295" s="438"/>
      <c r="K295" s="438"/>
    </row>
    <row r="296" spans="1:11" s="439" customFormat="1" ht="3.75" customHeight="1">
      <c r="A296" s="435"/>
      <c r="B296" s="440"/>
      <c r="C296" s="509"/>
      <c r="D296" s="446"/>
      <c r="E296" s="378"/>
      <c r="F296" s="379"/>
      <c r="G296" s="380"/>
      <c r="H296" s="379"/>
      <c r="I296" s="371"/>
      <c r="J296" s="438"/>
      <c r="K296" s="438"/>
    </row>
    <row r="297" spans="1:11" s="439" customFormat="1" ht="14.25" customHeight="1">
      <c r="A297" s="435"/>
      <c r="B297" s="440">
        <v>75101</v>
      </c>
      <c r="C297" s="509"/>
      <c r="D297" s="446" t="s">
        <v>140</v>
      </c>
      <c r="E297" s="378"/>
      <c r="F297" s="379"/>
      <c r="G297" s="380"/>
      <c r="H297" s="379"/>
      <c r="I297" s="371"/>
      <c r="J297" s="438"/>
      <c r="K297" s="438"/>
    </row>
    <row r="298" spans="1:11" s="439" customFormat="1" ht="14.25" customHeight="1">
      <c r="A298" s="435"/>
      <c r="B298" s="440"/>
      <c r="C298" s="481"/>
      <c r="D298" s="398" t="s">
        <v>141</v>
      </c>
      <c r="E298" s="553">
        <f>E301</f>
        <v>6720</v>
      </c>
      <c r="F298" s="540">
        <f>F301</f>
        <v>5040</v>
      </c>
      <c r="G298" s="540">
        <f>G301</f>
        <v>5040</v>
      </c>
      <c r="H298" s="540">
        <f>H301</f>
        <v>0</v>
      </c>
      <c r="I298" s="52">
        <f>SUM(F298/E298)</f>
        <v>0.75</v>
      </c>
      <c r="J298" s="438"/>
      <c r="K298" s="438"/>
    </row>
    <row r="299" spans="1:11" s="439" customFormat="1" ht="14.25" customHeight="1">
      <c r="A299" s="435"/>
      <c r="B299" s="440"/>
      <c r="C299" s="509">
        <v>2010</v>
      </c>
      <c r="D299" s="446" t="s">
        <v>136</v>
      </c>
      <c r="E299" s="912"/>
      <c r="F299" s="448"/>
      <c r="G299" s="447"/>
      <c r="H299" s="448"/>
      <c r="I299" s="911"/>
      <c r="J299" s="438"/>
      <c r="K299" s="438"/>
    </row>
    <row r="300" spans="1:11" s="439" customFormat="1" ht="14.25" customHeight="1">
      <c r="A300" s="435"/>
      <c r="B300" s="440"/>
      <c r="C300" s="509"/>
      <c r="D300" s="446" t="s">
        <v>137</v>
      </c>
      <c r="E300" s="912"/>
      <c r="F300" s="448"/>
      <c r="G300" s="447"/>
      <c r="H300" s="448"/>
      <c r="I300" s="911"/>
      <c r="J300" s="438"/>
      <c r="K300" s="438"/>
    </row>
    <row r="301" spans="1:11" s="439" customFormat="1" ht="14.25" customHeight="1">
      <c r="A301" s="470"/>
      <c r="B301" s="437"/>
      <c r="C301" s="481"/>
      <c r="D301" s="398" t="s">
        <v>138</v>
      </c>
      <c r="E301" s="553">
        <v>6720</v>
      </c>
      <c r="F301" s="540">
        <f>SUM(G301:H301)</f>
        <v>5040</v>
      </c>
      <c r="G301" s="511">
        <v>5040</v>
      </c>
      <c r="H301" s="540"/>
      <c r="I301" s="52">
        <f>SUM(F301/E301)</f>
        <v>0.75</v>
      </c>
      <c r="J301" s="438"/>
      <c r="K301" s="438"/>
    </row>
    <row r="302" spans="1:11" s="439" customFormat="1" ht="27.75" customHeight="1">
      <c r="A302" s="435"/>
      <c r="B302" s="508">
        <v>75113</v>
      </c>
      <c r="C302" s="629"/>
      <c r="D302" s="50" t="s">
        <v>254</v>
      </c>
      <c r="E302" s="53">
        <f>E305</f>
        <v>46600</v>
      </c>
      <c r="F302" s="51">
        <f>F305</f>
        <v>46600</v>
      </c>
      <c r="G302" s="54">
        <f>G305</f>
        <v>46600</v>
      </c>
      <c r="H302" s="51">
        <f>H305</f>
        <v>0</v>
      </c>
      <c r="I302" s="52">
        <f>SUM(F302/E302)</f>
        <v>1</v>
      </c>
      <c r="J302" s="438"/>
      <c r="K302" s="438"/>
    </row>
    <row r="303" spans="1:11" s="439" customFormat="1" ht="14.25" customHeight="1">
      <c r="A303" s="435"/>
      <c r="B303" s="440"/>
      <c r="C303" s="509">
        <v>2010</v>
      </c>
      <c r="D303" s="446" t="s">
        <v>136</v>
      </c>
      <c r="E303" s="378"/>
      <c r="F303" s="379"/>
      <c r="G303" s="380"/>
      <c r="H303" s="379"/>
      <c r="I303" s="371"/>
      <c r="J303" s="438"/>
      <c r="K303" s="438"/>
    </row>
    <row r="304" spans="1:11" s="439" customFormat="1" ht="14.25" customHeight="1">
      <c r="A304" s="435"/>
      <c r="B304" s="440"/>
      <c r="C304" s="509"/>
      <c r="D304" s="446" t="s">
        <v>137</v>
      </c>
      <c r="E304" s="378"/>
      <c r="F304" s="379"/>
      <c r="G304" s="380"/>
      <c r="H304" s="379"/>
      <c r="I304" s="371"/>
      <c r="J304" s="438"/>
      <c r="K304" s="438"/>
    </row>
    <row r="305" spans="1:11" s="439" customFormat="1" ht="14.25" customHeight="1" thickBot="1">
      <c r="A305" s="450"/>
      <c r="B305" s="451"/>
      <c r="C305" s="561"/>
      <c r="D305" s="625" t="s">
        <v>138</v>
      </c>
      <c r="E305" s="628">
        <v>46600</v>
      </c>
      <c r="F305" s="626">
        <f>SUM(G305:H305)</f>
        <v>46600</v>
      </c>
      <c r="G305" s="456">
        <v>46600</v>
      </c>
      <c r="H305" s="626"/>
      <c r="I305" s="479">
        <f>SUM(F305/E305)</f>
        <v>1</v>
      </c>
      <c r="J305" s="438"/>
      <c r="K305" s="438"/>
    </row>
    <row r="306" spans="1:11" s="439" customFormat="1" ht="10.5" customHeight="1" thickTop="1">
      <c r="A306" s="435"/>
      <c r="B306" s="446"/>
      <c r="C306" s="509"/>
      <c r="D306" s="446"/>
      <c r="E306" s="378"/>
      <c r="F306" s="379"/>
      <c r="G306" s="380"/>
      <c r="H306" s="379"/>
      <c r="I306" s="371"/>
      <c r="J306" s="438"/>
      <c r="K306" s="438"/>
    </row>
    <row r="307" spans="1:11" s="439" customFormat="1" ht="15" customHeight="1">
      <c r="A307" s="435">
        <v>801</v>
      </c>
      <c r="B307" s="398"/>
      <c r="C307" s="481"/>
      <c r="D307" s="398" t="s">
        <v>18</v>
      </c>
      <c r="E307" s="553">
        <f>SUM(E309,)</f>
        <v>3808</v>
      </c>
      <c r="F307" s="540">
        <f>SUM(F309,)</f>
        <v>3807.1</v>
      </c>
      <c r="G307" s="511">
        <f>SUM(G309,)</f>
        <v>3807.1</v>
      </c>
      <c r="H307" s="540">
        <f>SUM(H309,)</f>
        <v>0</v>
      </c>
      <c r="I307" s="52">
        <f>SUM(F307/E307)</f>
        <v>0.9997636554621848</v>
      </c>
      <c r="J307" s="438"/>
      <c r="K307" s="438"/>
    </row>
    <row r="308" spans="1:11" s="439" customFormat="1" ht="3.75" customHeight="1">
      <c r="A308" s="435"/>
      <c r="B308" s="446"/>
      <c r="C308" s="509"/>
      <c r="D308" s="446"/>
      <c r="E308" s="378"/>
      <c r="F308" s="379"/>
      <c r="G308" s="380"/>
      <c r="H308" s="379"/>
      <c r="I308" s="371"/>
      <c r="J308" s="438"/>
      <c r="K308" s="438"/>
    </row>
    <row r="309" spans="1:11" s="439" customFormat="1" ht="20.25" customHeight="1">
      <c r="A309" s="435"/>
      <c r="B309" s="440">
        <v>80101</v>
      </c>
      <c r="C309" s="481"/>
      <c r="D309" s="398" t="s">
        <v>111</v>
      </c>
      <c r="E309" s="553">
        <f>SUM(E313,)</f>
        <v>3808</v>
      </c>
      <c r="F309" s="540">
        <f>SUM(F313,)</f>
        <v>3807.1</v>
      </c>
      <c r="G309" s="511">
        <f>SUM(G313,)</f>
        <v>3807.1</v>
      </c>
      <c r="H309" s="540">
        <f>SUM(H313,)</f>
        <v>0</v>
      </c>
      <c r="I309" s="52">
        <f>SUM(F309/E309)</f>
        <v>0.9997636554621848</v>
      </c>
      <c r="J309" s="438"/>
      <c r="K309" s="438"/>
    </row>
    <row r="310" spans="1:11" s="439" customFormat="1" ht="6.75" customHeight="1">
      <c r="A310" s="435"/>
      <c r="B310" s="446"/>
      <c r="C310" s="509"/>
      <c r="D310" s="446"/>
      <c r="E310" s="912"/>
      <c r="F310" s="448"/>
      <c r="G310" s="447"/>
      <c r="H310" s="448"/>
      <c r="I310" s="911"/>
      <c r="J310" s="438"/>
      <c r="K310" s="438"/>
    </row>
    <row r="311" spans="1:11" s="439" customFormat="1" ht="11.25" customHeight="1">
      <c r="A311" s="435"/>
      <c r="B311" s="446"/>
      <c r="C311" s="509">
        <v>2010</v>
      </c>
      <c r="D311" s="446" t="s">
        <v>136</v>
      </c>
      <c r="E311" s="912"/>
      <c r="F311" s="448"/>
      <c r="G311" s="447"/>
      <c r="H311" s="448"/>
      <c r="I311" s="911"/>
      <c r="J311" s="438"/>
      <c r="K311" s="438"/>
    </row>
    <row r="312" spans="1:11" s="439" customFormat="1" ht="11.25" customHeight="1">
      <c r="A312" s="435"/>
      <c r="B312" s="446"/>
      <c r="C312" s="509"/>
      <c r="D312" s="446" t="s">
        <v>137</v>
      </c>
      <c r="E312" s="912"/>
      <c r="F312" s="448"/>
      <c r="G312" s="447"/>
      <c r="H312" s="448"/>
      <c r="I312" s="911"/>
      <c r="J312" s="438"/>
      <c r="K312" s="438"/>
    </row>
    <row r="313" spans="1:11" s="439" customFormat="1" ht="12.75" customHeight="1" thickBot="1">
      <c r="A313" s="450"/>
      <c r="B313" s="630"/>
      <c r="C313" s="631"/>
      <c r="D313" s="625" t="s">
        <v>138</v>
      </c>
      <c r="E313" s="628">
        <v>3808</v>
      </c>
      <c r="F313" s="626">
        <f>SUM(G313:H313)</f>
        <v>3807.1</v>
      </c>
      <c r="G313" s="456">
        <v>3807.1</v>
      </c>
      <c r="H313" s="626"/>
      <c r="I313" s="479">
        <f>SUM(F313/E313)</f>
        <v>0.9997636554621848</v>
      </c>
      <c r="J313" s="438"/>
      <c r="K313" s="438"/>
    </row>
    <row r="314" spans="1:11" s="439" customFormat="1" ht="10.5" customHeight="1" thickTop="1">
      <c r="A314" s="435"/>
      <c r="B314" s="446"/>
      <c r="C314" s="509"/>
      <c r="D314" s="446"/>
      <c r="E314" s="378"/>
      <c r="F314" s="379"/>
      <c r="G314" s="380"/>
      <c r="H314" s="379"/>
      <c r="I314" s="371"/>
      <c r="J314" s="438"/>
      <c r="K314" s="438"/>
    </row>
    <row r="315" spans="1:11" s="439" customFormat="1" ht="15" customHeight="1">
      <c r="A315" s="435">
        <v>851</v>
      </c>
      <c r="B315" s="398"/>
      <c r="C315" s="481"/>
      <c r="D315" s="398" t="s">
        <v>19</v>
      </c>
      <c r="E315" s="553">
        <f>SUM(E317,)</f>
        <v>2000</v>
      </c>
      <c r="F315" s="540">
        <f>SUM(F317,)</f>
        <v>1494</v>
      </c>
      <c r="G315" s="511">
        <f>SUM(G317,)</f>
        <v>1494</v>
      </c>
      <c r="H315" s="540">
        <f>SUM(H317,)</f>
        <v>0</v>
      </c>
      <c r="I315" s="52">
        <f>SUM(F315/E315)</f>
        <v>0.747</v>
      </c>
      <c r="J315" s="438"/>
      <c r="K315" s="438"/>
    </row>
    <row r="316" spans="1:11" s="439" customFormat="1" ht="3.75" customHeight="1">
      <c r="A316" s="435"/>
      <c r="B316" s="446"/>
      <c r="C316" s="509"/>
      <c r="D316" s="446"/>
      <c r="E316" s="378"/>
      <c r="F316" s="379"/>
      <c r="G316" s="380"/>
      <c r="H316" s="379"/>
      <c r="I316" s="371"/>
      <c r="J316" s="438"/>
      <c r="K316" s="438"/>
    </row>
    <row r="317" spans="1:11" s="439" customFormat="1" ht="20.25" customHeight="1">
      <c r="A317" s="435"/>
      <c r="B317" s="440">
        <v>85195</v>
      </c>
      <c r="C317" s="481"/>
      <c r="D317" s="398" t="s">
        <v>49</v>
      </c>
      <c r="E317" s="553">
        <f>SUM(E321,)</f>
        <v>2000</v>
      </c>
      <c r="F317" s="540">
        <f>SUM(F321,)</f>
        <v>1494</v>
      </c>
      <c r="G317" s="511">
        <f>SUM(G321,)</f>
        <v>1494</v>
      </c>
      <c r="H317" s="540">
        <f>SUM(H321,)</f>
        <v>0</v>
      </c>
      <c r="I317" s="52">
        <f>SUM(F317/E317)</f>
        <v>0.747</v>
      </c>
      <c r="J317" s="438"/>
      <c r="K317" s="438"/>
    </row>
    <row r="318" spans="1:11" s="439" customFormat="1" ht="6.75" customHeight="1">
      <c r="A318" s="435"/>
      <c r="B318" s="446"/>
      <c r="C318" s="509"/>
      <c r="D318" s="446"/>
      <c r="E318" s="912"/>
      <c r="F318" s="448"/>
      <c r="G318" s="447"/>
      <c r="H318" s="448"/>
      <c r="I318" s="911"/>
      <c r="J318" s="438"/>
      <c r="K318" s="438"/>
    </row>
    <row r="319" spans="1:11" s="439" customFormat="1" ht="11.25" customHeight="1">
      <c r="A319" s="435"/>
      <c r="B319" s="446"/>
      <c r="C319" s="509">
        <v>2010</v>
      </c>
      <c r="D319" s="446" t="s">
        <v>136</v>
      </c>
      <c r="E319" s="912"/>
      <c r="F319" s="448"/>
      <c r="G319" s="447"/>
      <c r="H319" s="448"/>
      <c r="I319" s="911"/>
      <c r="J319" s="438"/>
      <c r="K319" s="438"/>
    </row>
    <row r="320" spans="1:11" s="439" customFormat="1" ht="11.25" customHeight="1">
      <c r="A320" s="435"/>
      <c r="B320" s="446"/>
      <c r="C320" s="509"/>
      <c r="D320" s="446" t="s">
        <v>137</v>
      </c>
      <c r="E320" s="912"/>
      <c r="F320" s="448"/>
      <c r="G320" s="447"/>
      <c r="H320" s="448"/>
      <c r="I320" s="911"/>
      <c r="J320" s="438"/>
      <c r="K320" s="438"/>
    </row>
    <row r="321" spans="1:11" s="439" customFormat="1" ht="12.75" customHeight="1" thickBot="1">
      <c r="A321" s="450"/>
      <c r="B321" s="630"/>
      <c r="C321" s="631"/>
      <c r="D321" s="625" t="s">
        <v>138</v>
      </c>
      <c r="E321" s="628">
        <v>2000</v>
      </c>
      <c r="F321" s="626">
        <f>SUM(G321:H321)</f>
        <v>1494</v>
      </c>
      <c r="G321" s="456">
        <v>1494</v>
      </c>
      <c r="H321" s="626"/>
      <c r="I321" s="479">
        <f>SUM(F321/E321)</f>
        <v>0.747</v>
      </c>
      <c r="J321" s="438"/>
      <c r="K321" s="438"/>
    </row>
    <row r="322" spans="1:11" s="439" customFormat="1" ht="22.5" customHeight="1" thickTop="1">
      <c r="A322" s="632">
        <v>852</v>
      </c>
      <c r="B322" s="436"/>
      <c r="C322" s="623"/>
      <c r="D322" s="398" t="s">
        <v>20</v>
      </c>
      <c r="E322" s="553">
        <f>E323+E329+E335+E340+E345</f>
        <v>8686534</v>
      </c>
      <c r="F322" s="540">
        <f>F323+F329+F335+F340+F345</f>
        <v>6581508</v>
      </c>
      <c r="G322" s="540">
        <f>G323+G329+G335+G340+G345</f>
        <v>6581508</v>
      </c>
      <c r="H322" s="540">
        <f>H323+H329+H335+H340+H345</f>
        <v>0</v>
      </c>
      <c r="I322" s="52">
        <f>SUM(F322/E322)</f>
        <v>0.7576679029863925</v>
      </c>
      <c r="J322" s="438"/>
      <c r="K322" s="438"/>
    </row>
    <row r="323" spans="1:11" s="439" customFormat="1" ht="25.5" customHeight="1">
      <c r="A323" s="632"/>
      <c r="B323" s="440">
        <v>85203</v>
      </c>
      <c r="C323" s="481"/>
      <c r="D323" s="398" t="s">
        <v>142</v>
      </c>
      <c r="E323" s="553">
        <f>SUM(E326)</f>
        <v>175000</v>
      </c>
      <c r="F323" s="540">
        <f>SUM(F326)</f>
        <v>131247</v>
      </c>
      <c r="G323" s="511">
        <f>SUM(G326)</f>
        <v>131247</v>
      </c>
      <c r="H323" s="540">
        <f>SUM(H326)</f>
        <v>0</v>
      </c>
      <c r="I323" s="52">
        <f>SUM(F323/E323)</f>
        <v>0.7499828571428572</v>
      </c>
      <c r="J323" s="438"/>
      <c r="K323" s="438"/>
    </row>
    <row r="324" spans="1:11" s="439" customFormat="1" ht="14.25" customHeight="1">
      <c r="A324" s="632"/>
      <c r="B324" s="440"/>
      <c r="C324" s="509">
        <v>2010</v>
      </c>
      <c r="D324" s="446" t="s">
        <v>136</v>
      </c>
      <c r="E324" s="912"/>
      <c r="F324" s="448"/>
      <c r="G324" s="447"/>
      <c r="H324" s="448"/>
      <c r="I324" s="911"/>
      <c r="J324" s="438"/>
      <c r="K324" s="438"/>
    </row>
    <row r="325" spans="1:11" s="439" customFormat="1" ht="14.25" customHeight="1">
      <c r="A325" s="632"/>
      <c r="B325" s="440"/>
      <c r="C325" s="509"/>
      <c r="D325" s="446" t="s">
        <v>137</v>
      </c>
      <c r="E325" s="912"/>
      <c r="F325" s="448"/>
      <c r="G325" s="447"/>
      <c r="H325" s="448"/>
      <c r="I325" s="911"/>
      <c r="J325" s="438"/>
      <c r="K325" s="438"/>
    </row>
    <row r="326" spans="1:11" s="439" customFormat="1" ht="14.25" customHeight="1">
      <c r="A326" s="953"/>
      <c r="B326" s="437"/>
      <c r="C326" s="481"/>
      <c r="D326" s="398" t="s">
        <v>138</v>
      </c>
      <c r="E326" s="553">
        <v>175000</v>
      </c>
      <c r="F326" s="540">
        <f>SUM(G326:H326)</f>
        <v>131247</v>
      </c>
      <c r="G326" s="511">
        <v>131247</v>
      </c>
      <c r="H326" s="540"/>
      <c r="I326" s="52">
        <f>SUM(F326/E326)</f>
        <v>0.7499828571428572</v>
      </c>
      <c r="J326" s="438"/>
      <c r="K326" s="438"/>
    </row>
    <row r="327" spans="1:11" s="355" customFormat="1" ht="14.25" customHeight="1">
      <c r="A327" s="1338">
        <v>1</v>
      </c>
      <c r="B327" s="491">
        <v>2</v>
      </c>
      <c r="C327" s="492">
        <v>3</v>
      </c>
      <c r="D327" s="491">
        <v>4</v>
      </c>
      <c r="E327" s="492">
        <v>5</v>
      </c>
      <c r="F327" s="494">
        <v>6</v>
      </c>
      <c r="G327" s="493">
        <v>7</v>
      </c>
      <c r="H327" s="494">
        <v>8</v>
      </c>
      <c r="I327" s="495">
        <v>9</v>
      </c>
      <c r="J327" s="354"/>
      <c r="K327" s="354"/>
    </row>
    <row r="328" spans="1:11" s="439" customFormat="1" ht="14.25" customHeight="1">
      <c r="A328" s="632"/>
      <c r="B328" s="440">
        <v>85212</v>
      </c>
      <c r="C328" s="509"/>
      <c r="D328" s="446" t="s">
        <v>231</v>
      </c>
      <c r="E328" s="378"/>
      <c r="F328" s="379"/>
      <c r="G328" s="380"/>
      <c r="H328" s="379"/>
      <c r="I328" s="371"/>
      <c r="J328" s="438"/>
      <c r="K328" s="438"/>
    </row>
    <row r="329" spans="1:11" s="439" customFormat="1" ht="14.25" customHeight="1">
      <c r="A329" s="632"/>
      <c r="B329" s="440"/>
      <c r="C329" s="544"/>
      <c r="D329" s="398" t="s">
        <v>119</v>
      </c>
      <c r="E329" s="540">
        <f>SUM(E332:E332)</f>
        <v>7750000</v>
      </c>
      <c r="F329" s="540">
        <f>SUM(F332:F332)</f>
        <v>5723713</v>
      </c>
      <c r="G329" s="540">
        <f>SUM(G332:G332)</f>
        <v>5723713</v>
      </c>
      <c r="H329" s="540">
        <f>SUM(H332:H332)</f>
        <v>0</v>
      </c>
      <c r="I329" s="52">
        <f>SUM(F329/E329)</f>
        <v>0.7385436129032258</v>
      </c>
      <c r="J329" s="438"/>
      <c r="K329" s="438"/>
    </row>
    <row r="330" spans="1:11" s="439" customFormat="1" ht="14.25" customHeight="1">
      <c r="A330" s="632"/>
      <c r="B330" s="440"/>
      <c r="C330" s="509">
        <v>2010</v>
      </c>
      <c r="D330" s="446" t="s">
        <v>136</v>
      </c>
      <c r="E330" s="912"/>
      <c r="F330" s="448"/>
      <c r="G330" s="447"/>
      <c r="H330" s="448"/>
      <c r="I330" s="911"/>
      <c r="J330" s="438"/>
      <c r="K330" s="438"/>
    </row>
    <row r="331" spans="1:11" s="439" customFormat="1" ht="14.25" customHeight="1">
      <c r="A331" s="632"/>
      <c r="B331" s="440"/>
      <c r="C331" s="509"/>
      <c r="D331" s="446" t="s">
        <v>137</v>
      </c>
      <c r="E331" s="912"/>
      <c r="F331" s="448"/>
      <c r="G331" s="447"/>
      <c r="H331" s="448"/>
      <c r="I331" s="911"/>
      <c r="J331" s="438"/>
      <c r="K331" s="438"/>
    </row>
    <row r="332" spans="1:11" s="439" customFormat="1" ht="14.25" customHeight="1">
      <c r="A332" s="633"/>
      <c r="B332" s="437"/>
      <c r="C332" s="437"/>
      <c r="D332" s="398" t="s">
        <v>138</v>
      </c>
      <c r="E332" s="553">
        <v>7750000</v>
      </c>
      <c r="F332" s="540">
        <f>SUM(G332:H332)</f>
        <v>5723713</v>
      </c>
      <c r="G332" s="511">
        <v>5723713</v>
      </c>
      <c r="H332" s="540"/>
      <c r="I332" s="52">
        <f>SUM(F332/E332)</f>
        <v>0.7385436129032258</v>
      </c>
      <c r="J332" s="438"/>
      <c r="K332" s="438"/>
    </row>
    <row r="333" spans="1:11" s="439" customFormat="1" ht="14.25" customHeight="1">
      <c r="A333" s="632"/>
      <c r="B333" s="440">
        <v>85213</v>
      </c>
      <c r="C333" s="509"/>
      <c r="D333" s="446" t="s">
        <v>143</v>
      </c>
      <c r="E333" s="912"/>
      <c r="F333" s="448"/>
      <c r="G333" s="447"/>
      <c r="H333" s="448"/>
      <c r="I333" s="911"/>
      <c r="J333" s="438"/>
      <c r="K333" s="438"/>
    </row>
    <row r="334" spans="1:11" s="439" customFormat="1" ht="14.25" customHeight="1">
      <c r="A334" s="435"/>
      <c r="B334" s="440"/>
      <c r="C334" s="440"/>
      <c r="D334" s="446" t="s">
        <v>144</v>
      </c>
      <c r="E334" s="361"/>
      <c r="F334" s="379"/>
      <c r="G334" s="380"/>
      <c r="H334" s="379"/>
      <c r="I334" s="371"/>
      <c r="J334" s="438"/>
      <c r="K334" s="438"/>
    </row>
    <row r="335" spans="1:11" s="439" customFormat="1" ht="14.25" customHeight="1">
      <c r="A335" s="435"/>
      <c r="B335" s="440"/>
      <c r="C335" s="481"/>
      <c r="D335" s="398" t="s">
        <v>145</v>
      </c>
      <c r="E335" s="553">
        <f>SUM(E338)</f>
        <v>60718</v>
      </c>
      <c r="F335" s="540">
        <f>SUM(F338)</f>
        <v>58235</v>
      </c>
      <c r="G335" s="511">
        <f>SUM(G338)</f>
        <v>58235</v>
      </c>
      <c r="H335" s="540">
        <f>SUM(H338)</f>
        <v>0</v>
      </c>
      <c r="I335" s="52">
        <f>SUM(F335/E335)</f>
        <v>0.9591060311604467</v>
      </c>
      <c r="J335" s="438"/>
      <c r="K335" s="438"/>
    </row>
    <row r="336" spans="1:11" s="439" customFormat="1" ht="14.25" customHeight="1">
      <c r="A336" s="435"/>
      <c r="B336" s="440"/>
      <c r="C336" s="509">
        <v>2010</v>
      </c>
      <c r="D336" s="446" t="s">
        <v>136</v>
      </c>
      <c r="E336" s="378"/>
      <c r="F336" s="379"/>
      <c r="G336" s="380"/>
      <c r="H336" s="379"/>
      <c r="I336" s="371"/>
      <c r="J336" s="438"/>
      <c r="K336" s="438"/>
    </row>
    <row r="337" spans="1:11" s="439" customFormat="1" ht="14.25" customHeight="1">
      <c r="A337" s="435"/>
      <c r="B337" s="440"/>
      <c r="C337" s="509"/>
      <c r="D337" s="446" t="s">
        <v>137</v>
      </c>
      <c r="E337" s="378"/>
      <c r="F337" s="379"/>
      <c r="G337" s="380"/>
      <c r="H337" s="379"/>
      <c r="I337" s="371"/>
      <c r="J337" s="438"/>
      <c r="K337" s="438"/>
    </row>
    <row r="338" spans="1:11" s="439" customFormat="1" ht="12.75">
      <c r="A338" s="435"/>
      <c r="B338" s="437"/>
      <c r="C338" s="481"/>
      <c r="D338" s="398" t="s">
        <v>138</v>
      </c>
      <c r="E338" s="553">
        <v>60718</v>
      </c>
      <c r="F338" s="540">
        <f>SUM(G338:H338)</f>
        <v>58235</v>
      </c>
      <c r="G338" s="511">
        <v>58235</v>
      </c>
      <c r="H338" s="540"/>
      <c r="I338" s="52">
        <f>SUM(F338/E338)</f>
        <v>0.9591060311604467</v>
      </c>
      <c r="J338" s="438"/>
      <c r="K338" s="438"/>
    </row>
    <row r="339" spans="1:11" s="439" customFormat="1" ht="8.25" customHeight="1">
      <c r="A339" s="435"/>
      <c r="B339" s="440"/>
      <c r="C339" s="509"/>
      <c r="D339" s="446"/>
      <c r="E339" s="378"/>
      <c r="F339" s="379"/>
      <c r="G339" s="380"/>
      <c r="H339" s="379"/>
      <c r="I339" s="371"/>
      <c r="J339" s="438"/>
      <c r="K339" s="438"/>
    </row>
    <row r="340" spans="1:11" s="439" customFormat="1" ht="19.5" customHeight="1">
      <c r="A340" s="435"/>
      <c r="B340" s="440">
        <v>85214</v>
      </c>
      <c r="C340" s="437"/>
      <c r="D340" s="398" t="s">
        <v>215</v>
      </c>
      <c r="E340" s="553">
        <f>E343</f>
        <v>570816</v>
      </c>
      <c r="F340" s="540">
        <f>F343</f>
        <v>570816</v>
      </c>
      <c r="G340" s="511">
        <f>G343</f>
        <v>570816</v>
      </c>
      <c r="H340" s="540">
        <f>H343</f>
        <v>0</v>
      </c>
      <c r="I340" s="52">
        <f>SUM(F340/E340)</f>
        <v>1</v>
      </c>
      <c r="J340" s="438"/>
      <c r="K340" s="438"/>
    </row>
    <row r="341" spans="1:11" s="439" customFormat="1" ht="14.25" customHeight="1">
      <c r="A341" s="435"/>
      <c r="B341" s="440"/>
      <c r="C341" s="509">
        <v>2010</v>
      </c>
      <c r="D341" s="446" t="s">
        <v>136</v>
      </c>
      <c r="E341" s="912"/>
      <c r="F341" s="448"/>
      <c r="G341" s="447"/>
      <c r="H341" s="448"/>
      <c r="I341" s="911"/>
      <c r="J341" s="438"/>
      <c r="K341" s="438"/>
    </row>
    <row r="342" spans="1:11" s="439" customFormat="1" ht="14.25" customHeight="1">
      <c r="A342" s="435"/>
      <c r="B342" s="440"/>
      <c r="C342" s="509"/>
      <c r="D342" s="446" t="s">
        <v>137</v>
      </c>
      <c r="E342" s="912"/>
      <c r="F342" s="448"/>
      <c r="G342" s="447"/>
      <c r="H342" s="448"/>
      <c r="I342" s="911"/>
      <c r="J342" s="438"/>
      <c r="K342" s="438"/>
    </row>
    <row r="343" spans="1:11" s="439" customFormat="1" ht="14.25" customHeight="1">
      <c r="A343" s="435"/>
      <c r="B343" s="437"/>
      <c r="C343" s="437"/>
      <c r="D343" s="398" t="s">
        <v>138</v>
      </c>
      <c r="E343" s="553">
        <v>570816</v>
      </c>
      <c r="F343" s="511">
        <f>SUM(G343:H343)</f>
        <v>570816</v>
      </c>
      <c r="G343" s="511">
        <v>570816</v>
      </c>
      <c r="H343" s="540"/>
      <c r="I343" s="52">
        <f>SUM(F343/E343)</f>
        <v>1</v>
      </c>
      <c r="J343" s="438"/>
      <c r="K343" s="438"/>
    </row>
    <row r="344" spans="1:11" s="439" customFormat="1" ht="8.25" customHeight="1">
      <c r="A344" s="435"/>
      <c r="B344" s="440"/>
      <c r="C344" s="509"/>
      <c r="D344" s="446"/>
      <c r="E344" s="912"/>
      <c r="F344" s="448"/>
      <c r="G344" s="447"/>
      <c r="H344" s="448"/>
      <c r="I344" s="911"/>
      <c r="J344" s="438"/>
      <c r="K344" s="438"/>
    </row>
    <row r="345" spans="1:11" s="439" customFormat="1" ht="18" customHeight="1">
      <c r="A345" s="435"/>
      <c r="B345" s="440">
        <v>85228</v>
      </c>
      <c r="C345" s="437"/>
      <c r="D345" s="398" t="s">
        <v>122</v>
      </c>
      <c r="E345" s="553">
        <f>E348</f>
        <v>130000</v>
      </c>
      <c r="F345" s="540">
        <f>F348</f>
        <v>97497</v>
      </c>
      <c r="G345" s="511">
        <f>G348</f>
        <v>97497</v>
      </c>
      <c r="H345" s="540">
        <f>H348</f>
        <v>0</v>
      </c>
      <c r="I345" s="52">
        <f>SUM(F345/E345)</f>
        <v>0.7499769230769231</v>
      </c>
      <c r="J345" s="438"/>
      <c r="K345" s="438"/>
    </row>
    <row r="346" spans="1:11" s="439" customFormat="1" ht="14.25" customHeight="1">
      <c r="A346" s="435"/>
      <c r="B346" s="440"/>
      <c r="C346" s="509">
        <v>2010</v>
      </c>
      <c r="D346" s="446" t="s">
        <v>136</v>
      </c>
      <c r="E346" s="378"/>
      <c r="F346" s="379"/>
      <c r="G346" s="380"/>
      <c r="H346" s="379"/>
      <c r="I346" s="371"/>
      <c r="J346" s="438"/>
      <c r="K346" s="438"/>
    </row>
    <row r="347" spans="1:11" s="439" customFormat="1" ht="14.25" customHeight="1">
      <c r="A347" s="435"/>
      <c r="B347" s="440"/>
      <c r="C347" s="509"/>
      <c r="D347" s="446" t="s">
        <v>137</v>
      </c>
      <c r="E347" s="378"/>
      <c r="F347" s="379"/>
      <c r="G347" s="380"/>
      <c r="H347" s="379"/>
      <c r="I347" s="371"/>
      <c r="J347" s="438"/>
      <c r="K347" s="438"/>
    </row>
    <row r="348" spans="1:11" s="439" customFormat="1" ht="14.25" customHeight="1" thickBot="1">
      <c r="A348" s="435"/>
      <c r="B348" s="440"/>
      <c r="C348" s="440"/>
      <c r="D348" s="446" t="s">
        <v>138</v>
      </c>
      <c r="E348" s="378">
        <v>130000</v>
      </c>
      <c r="F348" s="380">
        <f>SUM(G348:H348)</f>
        <v>97497</v>
      </c>
      <c r="G348" s="380">
        <v>97497</v>
      </c>
      <c r="H348" s="379"/>
      <c r="I348" s="371">
        <f>SUM(F348/E348)</f>
        <v>0.7499769230769231</v>
      </c>
      <c r="J348" s="438"/>
      <c r="K348" s="438"/>
    </row>
    <row r="349" spans="1:9" ht="10.5" customHeight="1">
      <c r="A349" s="596"/>
      <c r="B349" s="634"/>
      <c r="C349" s="635"/>
      <c r="D349" s="636"/>
      <c r="E349" s="637"/>
      <c r="F349" s="638"/>
      <c r="G349" s="406"/>
      <c r="H349" s="652"/>
      <c r="I349" s="407"/>
    </row>
    <row r="350" spans="1:11" s="602" customFormat="1" ht="25.5" customHeight="1" thickBot="1">
      <c r="A350" s="597"/>
      <c r="B350" s="639"/>
      <c r="C350" s="640"/>
      <c r="D350" s="600" t="s">
        <v>135</v>
      </c>
      <c r="E350" s="641">
        <f>E280+E287+E295+E315+E322+E307</f>
        <v>9061989.57</v>
      </c>
      <c r="F350" s="409">
        <f>F280+F287+F295+F315+F322+F307</f>
        <v>6872927.67</v>
      </c>
      <c r="G350" s="641">
        <f>G280+G287+G295+G315+G322+G307</f>
        <v>6872927.67</v>
      </c>
      <c r="H350" s="409">
        <f>H280+H287+H295+H315+H322+H307</f>
        <v>0</v>
      </c>
      <c r="I350" s="410">
        <f>F350/E350</f>
        <v>0.7584347363136503</v>
      </c>
      <c r="J350" s="601"/>
      <c r="K350" s="601"/>
    </row>
    <row r="351" spans="1:11" s="602" customFormat="1" ht="13.5" customHeight="1">
      <c r="A351" s="603"/>
      <c r="B351" s="603"/>
      <c r="C351" s="416"/>
      <c r="D351" s="417"/>
      <c r="E351" s="928"/>
      <c r="F351" s="915"/>
      <c r="G351" s="604"/>
      <c r="H351" s="604"/>
      <c r="I351" s="929"/>
      <c r="J351" s="601"/>
      <c r="K351" s="601"/>
    </row>
    <row r="352" spans="1:9" s="644" customFormat="1" ht="14.25" customHeight="1">
      <c r="A352" s="1375" t="s">
        <v>674</v>
      </c>
      <c r="B352" s="1375"/>
      <c r="C352" s="1375"/>
      <c r="D352" s="1375"/>
      <c r="E352" s="1375"/>
      <c r="F352" s="1375"/>
      <c r="G352" s="1375"/>
      <c r="H352" s="1375"/>
      <c r="I352" s="1375"/>
    </row>
    <row r="353" spans="1:9" ht="14.25" customHeight="1">
      <c r="A353" s="1346"/>
      <c r="B353" s="1346"/>
      <c r="C353" s="1346"/>
      <c r="D353" s="1346"/>
      <c r="E353" s="1346"/>
      <c r="F353" s="1346"/>
      <c r="G353" s="1346"/>
      <c r="H353" s="1346"/>
      <c r="I353" s="1346"/>
    </row>
    <row r="354" spans="1:9" ht="14.25" customHeight="1" thickBot="1">
      <c r="A354" s="601"/>
      <c r="B354" s="645"/>
      <c r="D354" s="646"/>
      <c r="E354" s="930"/>
      <c r="F354" s="924"/>
      <c r="G354" s="612"/>
      <c r="H354" s="421"/>
      <c r="I354" s="422" t="s">
        <v>0</v>
      </c>
    </row>
    <row r="355" spans="1:11" s="613" customFormat="1" ht="14.25" customHeight="1">
      <c r="A355" s="1347" t="s">
        <v>1</v>
      </c>
      <c r="B355" s="1349" t="s">
        <v>25</v>
      </c>
      <c r="C355" s="1349" t="s">
        <v>26</v>
      </c>
      <c r="D355" s="1349" t="s">
        <v>27</v>
      </c>
      <c r="E355" s="1364" t="s">
        <v>3</v>
      </c>
      <c r="F355" s="1340" t="s">
        <v>202</v>
      </c>
      <c r="G355" s="1342" t="s">
        <v>4</v>
      </c>
      <c r="H355" s="1343"/>
      <c r="I355" s="1344" t="s">
        <v>216</v>
      </c>
      <c r="J355" s="423"/>
      <c r="K355" s="423"/>
    </row>
    <row r="356" spans="1:11" s="614" customFormat="1" ht="12.75">
      <c r="A356" s="1348"/>
      <c r="B356" s="1350"/>
      <c r="C356" s="1350"/>
      <c r="D356" s="1350"/>
      <c r="E356" s="1365"/>
      <c r="F356" s="1341"/>
      <c r="G356" s="345" t="s">
        <v>5</v>
      </c>
      <c r="H356" s="346" t="s">
        <v>6</v>
      </c>
      <c r="I356" s="1345"/>
      <c r="J356" s="425"/>
      <c r="K356" s="425"/>
    </row>
    <row r="357" spans="1:11" s="648" customFormat="1" ht="14.25" customHeight="1" thickBot="1">
      <c r="A357" s="348">
        <v>1</v>
      </c>
      <c r="B357" s="427">
        <v>2</v>
      </c>
      <c r="C357" s="427">
        <v>3</v>
      </c>
      <c r="D357" s="427">
        <v>4</v>
      </c>
      <c r="E357" s="428">
        <v>5</v>
      </c>
      <c r="F357" s="429">
        <v>6</v>
      </c>
      <c r="G357" s="430">
        <v>7</v>
      </c>
      <c r="H357" s="431">
        <v>8</v>
      </c>
      <c r="I357" s="432">
        <v>9</v>
      </c>
      <c r="J357" s="647"/>
      <c r="K357" s="647"/>
    </row>
    <row r="358" spans="1:9" ht="14.25" customHeight="1">
      <c r="A358" s="649"/>
      <c r="B358" s="650"/>
      <c r="C358" s="651"/>
      <c r="D358" s="650"/>
      <c r="E358" s="607"/>
      <c r="F358" s="638"/>
      <c r="G358" s="386"/>
      <c r="H358" s="652"/>
      <c r="I358" s="621"/>
    </row>
    <row r="359" spans="1:9" ht="14.25" customHeight="1">
      <c r="A359" s="435">
        <v>600</v>
      </c>
      <c r="B359" s="398"/>
      <c r="C359" s="653"/>
      <c r="D359" s="398" t="s">
        <v>7</v>
      </c>
      <c r="E359" s="559">
        <f>SUM(E364+E361)</f>
        <v>4950000</v>
      </c>
      <c r="F359" s="511">
        <f>SUM(F364+F361)</f>
        <v>1051183.99</v>
      </c>
      <c r="G359" s="511">
        <f>SUM(G364+G361)</f>
        <v>225000</v>
      </c>
      <c r="H359" s="654">
        <f>SUM(H361+H364)</f>
        <v>826183.99</v>
      </c>
      <c r="I359" s="52">
        <f>SUM(F359/E359)</f>
        <v>0.212360402020202</v>
      </c>
    </row>
    <row r="360" spans="1:9" ht="14.25" customHeight="1">
      <c r="A360" s="435"/>
      <c r="B360" s="446"/>
      <c r="C360" s="655"/>
      <c r="D360" s="446"/>
      <c r="E360" s="415"/>
      <c r="F360" s="380"/>
      <c r="G360" s="380"/>
      <c r="H360" s="590"/>
      <c r="I360" s="371"/>
    </row>
    <row r="361" spans="1:9" ht="14.25" customHeight="1">
      <c r="A361" s="435"/>
      <c r="B361" s="440">
        <v>60013</v>
      </c>
      <c r="C361" s="653"/>
      <c r="D361" s="398" t="s">
        <v>146</v>
      </c>
      <c r="E361" s="559">
        <f>SUM(E362)</f>
        <v>600000</v>
      </c>
      <c r="F361" s="511"/>
      <c r="G361" s="511">
        <f>SUM(G362)</f>
        <v>0</v>
      </c>
      <c r="H361" s="654">
        <f>SUM(H362)</f>
        <v>0</v>
      </c>
      <c r="I361" s="52">
        <f>SUM(F361/E361)</f>
        <v>0</v>
      </c>
    </row>
    <row r="362" spans="1:9" ht="27" customHeight="1">
      <c r="A362" s="435"/>
      <c r="B362" s="437"/>
      <c r="C362" s="437">
        <v>6208</v>
      </c>
      <c r="D362" s="464" t="s">
        <v>211</v>
      </c>
      <c r="E362" s="559">
        <v>600000</v>
      </c>
      <c r="F362" s="511">
        <f>SUM(G362:H362)</f>
        <v>0</v>
      </c>
      <c r="G362" s="511"/>
      <c r="H362" s="654">
        <v>0</v>
      </c>
      <c r="I362" s="52">
        <f>SUM(F362/E362)</f>
        <v>0</v>
      </c>
    </row>
    <row r="363" spans="1:9" ht="12.75">
      <c r="A363" s="435"/>
      <c r="B363" s="440"/>
      <c r="C363" s="440"/>
      <c r="D363" s="472"/>
      <c r="E363" s="918"/>
      <c r="F363" s="499"/>
      <c r="G363" s="447"/>
      <c r="H363" s="585"/>
      <c r="I363" s="911"/>
    </row>
    <row r="364" spans="1:9" ht="14.25" customHeight="1">
      <c r="A364" s="435"/>
      <c r="B364" s="440">
        <v>60014</v>
      </c>
      <c r="C364" s="653"/>
      <c r="D364" s="398" t="s">
        <v>147</v>
      </c>
      <c r="E364" s="559">
        <f>SUM(E365:E367)</f>
        <v>4350000</v>
      </c>
      <c r="F364" s="511">
        <f>SUM(F365:F367)</f>
        <v>1051183.99</v>
      </c>
      <c r="G364" s="511">
        <f>SUM(G365:G367)</f>
        <v>225000</v>
      </c>
      <c r="H364" s="654">
        <f>SUM(H365:H367)</f>
        <v>826183.99</v>
      </c>
      <c r="I364" s="52">
        <f>SUM(F364/E364)</f>
        <v>0.241651491954023</v>
      </c>
    </row>
    <row r="365" spans="1:9" ht="25.5">
      <c r="A365" s="435"/>
      <c r="B365" s="440"/>
      <c r="C365" s="440">
        <v>2320</v>
      </c>
      <c r="D365" s="656" t="s">
        <v>148</v>
      </c>
      <c r="E365" s="503">
        <v>300000</v>
      </c>
      <c r="F365" s="380">
        <f>SUM(G365:H365)</f>
        <v>225000</v>
      </c>
      <c r="G365" s="380">
        <v>225000</v>
      </c>
      <c r="H365" s="590"/>
      <c r="I365" s="466">
        <f>SUM(F365/E365)</f>
        <v>0.75</v>
      </c>
    </row>
    <row r="366" spans="1:9" ht="38.25">
      <c r="A366" s="435"/>
      <c r="B366" s="440"/>
      <c r="C366" s="441">
        <v>6330</v>
      </c>
      <c r="D366" s="657" t="s">
        <v>395</v>
      </c>
      <c r="E366" s="658">
        <v>2700000</v>
      </c>
      <c r="F366" s="54">
        <f>SUM(G366:H366)</f>
        <v>0</v>
      </c>
      <c r="G366" s="54"/>
      <c r="H366" s="588">
        <v>0</v>
      </c>
      <c r="I366" s="371">
        <f>SUM(F366/E366)</f>
        <v>0</v>
      </c>
    </row>
    <row r="367" spans="1:9" ht="42" customHeight="1" thickBot="1">
      <c r="A367" s="450"/>
      <c r="B367" s="451"/>
      <c r="C367" s="1339">
        <v>6620</v>
      </c>
      <c r="D367" s="476" t="s">
        <v>212</v>
      </c>
      <c r="E367" s="454">
        <v>1350000</v>
      </c>
      <c r="F367" s="456">
        <f>SUM(G367:H367)</f>
        <v>826183.99</v>
      </c>
      <c r="G367" s="478"/>
      <c r="H367" s="937">
        <v>826183.99</v>
      </c>
      <c r="I367" s="457">
        <f>SUM(F367/E367)</f>
        <v>0.6119881407407407</v>
      </c>
    </row>
    <row r="368" spans="1:11" s="570" customFormat="1" ht="14.25" customHeight="1" thickTop="1">
      <c r="A368" s="562"/>
      <c r="B368" s="563"/>
      <c r="C368" s="563"/>
      <c r="D368" s="563"/>
      <c r="E368" s="565"/>
      <c r="F368" s="566"/>
      <c r="G368" s="676"/>
      <c r="H368" s="677"/>
      <c r="I368" s="371"/>
      <c r="J368" s="569"/>
      <c r="K368" s="569"/>
    </row>
    <row r="369" spans="1:11" s="439" customFormat="1" ht="14.25" customHeight="1">
      <c r="A369" s="435">
        <v>853</v>
      </c>
      <c r="B369" s="436"/>
      <c r="C369" s="437"/>
      <c r="D369" s="398" t="s">
        <v>21</v>
      </c>
      <c r="E369" s="370">
        <f>SUM(E371)</f>
        <v>10000</v>
      </c>
      <c r="F369" s="357">
        <f>SUM(F371)</f>
        <v>10000</v>
      </c>
      <c r="G369" s="357">
        <f>SUM(G371)</f>
        <v>10000</v>
      </c>
      <c r="H369" s="357">
        <f>SUM(H371)</f>
        <v>0</v>
      </c>
      <c r="I369" s="52">
        <f>SUM(F369/E369)</f>
        <v>1</v>
      </c>
      <c r="J369" s="438"/>
      <c r="K369" s="438"/>
    </row>
    <row r="370" spans="1:11" s="439" customFormat="1" ht="12.75">
      <c r="A370" s="435"/>
      <c r="B370" s="440"/>
      <c r="C370" s="440"/>
      <c r="D370" s="472"/>
      <c r="E370" s="397"/>
      <c r="F370" s="396"/>
      <c r="G370" s="380"/>
      <c r="H370" s="379"/>
      <c r="I370" s="371"/>
      <c r="J370" s="438"/>
      <c r="K370" s="438"/>
    </row>
    <row r="371" spans="1:11" s="439" customFormat="1" ht="12.75">
      <c r="A371" s="435"/>
      <c r="B371" s="440">
        <v>85395</v>
      </c>
      <c r="C371" s="481"/>
      <c r="D371" s="464" t="s">
        <v>49</v>
      </c>
      <c r="E371" s="370">
        <f>SUM(E373)</f>
        <v>10000</v>
      </c>
      <c r="F371" s="357">
        <f>SUM(F373)</f>
        <v>10000</v>
      </c>
      <c r="G371" s="511">
        <f>SUM(G373)</f>
        <v>10000</v>
      </c>
      <c r="H371" s="511">
        <f>SUM(H373)</f>
        <v>0</v>
      </c>
      <c r="I371" s="52">
        <f>SUM(F371/E371)</f>
        <v>1</v>
      </c>
      <c r="J371" s="438"/>
      <c r="K371" s="438"/>
    </row>
    <row r="372" spans="1:11" s="439" customFormat="1" ht="12.75">
      <c r="A372" s="435"/>
      <c r="B372" s="440"/>
      <c r="C372" s="509"/>
      <c r="D372" s="472"/>
      <c r="E372" s="397"/>
      <c r="F372" s="396"/>
      <c r="G372" s="379"/>
      <c r="H372" s="383"/>
      <c r="I372" s="659"/>
      <c r="J372" s="438"/>
      <c r="K372" s="438"/>
    </row>
    <row r="373" spans="1:11" s="439" customFormat="1" ht="25.5" customHeight="1" thickBot="1">
      <c r="A373" s="435"/>
      <c r="B373" s="440"/>
      <c r="C373" s="440">
        <v>2320</v>
      </c>
      <c r="D373" s="656" t="s">
        <v>148</v>
      </c>
      <c r="E373" s="397">
        <v>10000</v>
      </c>
      <c r="F373" s="396">
        <f>SUM(G373:H373)</f>
        <v>10000</v>
      </c>
      <c r="G373" s="380">
        <v>10000</v>
      </c>
      <c r="H373" s="379"/>
      <c r="I373" s="371">
        <f>SUM(F373/E373)</f>
        <v>1</v>
      </c>
      <c r="J373" s="438"/>
      <c r="K373" s="438"/>
    </row>
    <row r="374" spans="1:9" ht="14.25" customHeight="1">
      <c r="A374" s="660"/>
      <c r="B374" s="636"/>
      <c r="C374" s="635"/>
      <c r="D374" s="636"/>
      <c r="E374" s="661"/>
      <c r="F374" s="405"/>
      <c r="G374" s="406"/>
      <c r="H374" s="652"/>
      <c r="I374" s="407"/>
    </row>
    <row r="375" spans="1:11" s="648" customFormat="1" ht="21" customHeight="1" thickBot="1">
      <c r="A375" s="662"/>
      <c r="B375" s="600"/>
      <c r="C375" s="663"/>
      <c r="D375" s="600" t="s">
        <v>135</v>
      </c>
      <c r="E375" s="664">
        <f>SUM(E359)+E369</f>
        <v>4960000</v>
      </c>
      <c r="F375" s="642">
        <f>SUM(F359)+F369</f>
        <v>1061183.99</v>
      </c>
      <c r="G375" s="642">
        <f>SUM(G359)+G369</f>
        <v>235000</v>
      </c>
      <c r="H375" s="409">
        <f>SUM(H359)+H369</f>
        <v>826183.99</v>
      </c>
      <c r="I375" s="410">
        <f>F375/E375</f>
        <v>0.21394838508064515</v>
      </c>
      <c r="J375" s="647"/>
      <c r="K375" s="647"/>
    </row>
    <row r="376" spans="1:9" ht="28.5" customHeight="1">
      <c r="A376" s="607"/>
      <c r="B376" s="607"/>
      <c r="C376" s="608"/>
      <c r="D376" s="417"/>
      <c r="E376" s="928"/>
      <c r="F376" s="915"/>
      <c r="G376" s="604"/>
      <c r="H376" s="604"/>
      <c r="I376" s="923"/>
    </row>
    <row r="377" spans="1:9" s="644" customFormat="1" ht="14.25" customHeight="1">
      <c r="A377" s="1375" t="s">
        <v>261</v>
      </c>
      <c r="B377" s="1375"/>
      <c r="C377" s="1375"/>
      <c r="D377" s="1375"/>
      <c r="E377" s="1375"/>
      <c r="F377" s="1375"/>
      <c r="G377" s="1375"/>
      <c r="H377" s="1375"/>
      <c r="I377" s="643"/>
    </row>
    <row r="378" spans="1:9" ht="12" customHeight="1">
      <c r="A378" s="1382"/>
      <c r="B378" s="1382"/>
      <c r="C378" s="1382"/>
      <c r="D378" s="1382"/>
      <c r="E378" s="1382"/>
      <c r="F378" s="1382"/>
      <c r="G378" s="1382"/>
      <c r="H378" s="1382"/>
      <c r="I378" s="1382"/>
    </row>
    <row r="379" spans="1:9" ht="14.25" customHeight="1" thickBot="1">
      <c r="A379" s="601"/>
      <c r="B379" s="645"/>
      <c r="D379" s="646"/>
      <c r="E379" s="930"/>
      <c r="F379" s="924"/>
      <c r="G379" s="612"/>
      <c r="H379" s="421"/>
      <c r="I379" s="422" t="s">
        <v>0</v>
      </c>
    </row>
    <row r="380" spans="1:11" s="666" customFormat="1" ht="14.25" customHeight="1">
      <c r="A380" s="1347" t="s">
        <v>1</v>
      </c>
      <c r="B380" s="1349" t="s">
        <v>25</v>
      </c>
      <c r="C380" s="1349" t="s">
        <v>26</v>
      </c>
      <c r="D380" s="1349" t="s">
        <v>27</v>
      </c>
      <c r="E380" s="1364" t="s">
        <v>3</v>
      </c>
      <c r="F380" s="1376" t="s">
        <v>202</v>
      </c>
      <c r="G380" s="1342" t="s">
        <v>4</v>
      </c>
      <c r="H380" s="1343"/>
      <c r="I380" s="1344" t="s">
        <v>216</v>
      </c>
      <c r="J380" s="665"/>
      <c r="K380" s="665"/>
    </row>
    <row r="381" spans="1:11" s="668" customFormat="1" ht="12.75">
      <c r="A381" s="1348"/>
      <c r="B381" s="1350"/>
      <c r="C381" s="1350"/>
      <c r="D381" s="1350"/>
      <c r="E381" s="1365"/>
      <c r="F381" s="1377"/>
      <c r="G381" s="345" t="s">
        <v>5</v>
      </c>
      <c r="H381" s="346" t="s">
        <v>6</v>
      </c>
      <c r="I381" s="1345"/>
      <c r="J381" s="667"/>
      <c r="K381" s="667"/>
    </row>
    <row r="382" spans="1:9" ht="14.25" customHeight="1" thickBot="1">
      <c r="A382" s="669">
        <v>1</v>
      </c>
      <c r="B382" s="670">
        <v>2</v>
      </c>
      <c r="C382" s="670">
        <v>3</v>
      </c>
      <c r="D382" s="670">
        <v>4</v>
      </c>
      <c r="E382" s="671">
        <v>5</v>
      </c>
      <c r="F382" s="672">
        <v>6</v>
      </c>
      <c r="G382" s="673">
        <v>7</v>
      </c>
      <c r="H382" s="674">
        <v>8</v>
      </c>
      <c r="I382" s="675">
        <v>9</v>
      </c>
    </row>
    <row r="383" spans="1:11" s="570" customFormat="1" ht="14.25" customHeight="1">
      <c r="A383" s="562"/>
      <c r="B383" s="563"/>
      <c r="C383" s="563"/>
      <c r="D383" s="563"/>
      <c r="E383" s="565"/>
      <c r="F383" s="566"/>
      <c r="G383" s="676"/>
      <c r="H383" s="677"/>
      <c r="I383" s="371"/>
      <c r="J383" s="569"/>
      <c r="K383" s="569"/>
    </row>
    <row r="384" spans="1:11" s="439" customFormat="1" ht="14.25" customHeight="1">
      <c r="A384" s="435">
        <v>853</v>
      </c>
      <c r="B384" s="436"/>
      <c r="C384" s="437"/>
      <c r="D384" s="398" t="s">
        <v>21</v>
      </c>
      <c r="E384" s="370">
        <f>SUM(E386)</f>
        <v>700664</v>
      </c>
      <c r="F384" s="357">
        <f>SUM(F386)</f>
        <v>700663.48</v>
      </c>
      <c r="G384" s="357">
        <f>SUM(G386)</f>
        <v>700663.48</v>
      </c>
      <c r="H384" s="357">
        <f>SUM(H386)</f>
        <v>0</v>
      </c>
      <c r="I384" s="52">
        <f>SUM(F384/E384)</f>
        <v>0.9999992578468424</v>
      </c>
      <c r="J384" s="438"/>
      <c r="K384" s="438"/>
    </row>
    <row r="385" spans="1:11" s="439" customFormat="1" ht="12.75">
      <c r="A385" s="435"/>
      <c r="B385" s="440"/>
      <c r="C385" s="440"/>
      <c r="D385" s="472"/>
      <c r="E385" s="397"/>
      <c r="F385" s="396"/>
      <c r="G385" s="380"/>
      <c r="H385" s="379"/>
      <c r="I385" s="371"/>
      <c r="J385" s="438"/>
      <c r="K385" s="438"/>
    </row>
    <row r="386" spans="1:11" s="439" customFormat="1" ht="12.75">
      <c r="A386" s="435"/>
      <c r="B386" s="440">
        <v>85395</v>
      </c>
      <c r="C386" s="481"/>
      <c r="D386" s="464" t="s">
        <v>49</v>
      </c>
      <c r="E386" s="370">
        <f>SUM(E387:E388)</f>
        <v>700664</v>
      </c>
      <c r="F386" s="357">
        <f>SUM(F387:F388)</f>
        <v>700663.48</v>
      </c>
      <c r="G386" s="357">
        <f>SUM(G387:G388)</f>
        <v>700663.48</v>
      </c>
      <c r="H386" s="357">
        <f>SUM(H387:H388)</f>
        <v>0</v>
      </c>
      <c r="I386" s="52">
        <f>SUM(F386/E386)</f>
        <v>0.9999992578468424</v>
      </c>
      <c r="J386" s="438"/>
      <c r="K386" s="438"/>
    </row>
    <row r="387" spans="1:11" s="439" customFormat="1" ht="21.75" customHeight="1">
      <c r="A387" s="435"/>
      <c r="B387" s="440"/>
      <c r="C387" s="441">
        <v>2008</v>
      </c>
      <c r="D387" s="525" t="s">
        <v>206</v>
      </c>
      <c r="E387" s="442">
        <v>661740</v>
      </c>
      <c r="F387" s="443">
        <f>SUM(G387:H387)</f>
        <v>661739.37</v>
      </c>
      <c r="G387" s="54">
        <f>661739.37</f>
        <v>661739.37</v>
      </c>
      <c r="H387" s="51"/>
      <c r="I387" s="466">
        <f>SUM(F387/E387)</f>
        <v>0.9999990479644574</v>
      </c>
      <c r="J387" s="438"/>
      <c r="K387" s="438"/>
    </row>
    <row r="388" spans="1:11" s="439" customFormat="1" ht="21.75" customHeight="1" thickBot="1">
      <c r="A388" s="435"/>
      <c r="B388" s="440"/>
      <c r="C388" s="440">
        <v>2009</v>
      </c>
      <c r="D388" s="525" t="s">
        <v>206</v>
      </c>
      <c r="E388" s="397">
        <v>38924</v>
      </c>
      <c r="F388" s="396">
        <f>SUM(G388:H388)</f>
        <v>38924.11</v>
      </c>
      <c r="G388" s="380">
        <v>38924.11</v>
      </c>
      <c r="H388" s="379"/>
      <c r="I388" s="371">
        <f>SUM(F388/E388)</f>
        <v>1.0000028260199363</v>
      </c>
      <c r="J388" s="438"/>
      <c r="K388" s="438"/>
    </row>
    <row r="389" spans="1:9" ht="14.25" customHeight="1">
      <c r="A389" s="660"/>
      <c r="B389" s="636"/>
      <c r="C389" s="635"/>
      <c r="D389" s="636"/>
      <c r="E389" s="661"/>
      <c r="F389" s="405"/>
      <c r="G389" s="406"/>
      <c r="H389" s="652"/>
      <c r="I389" s="407"/>
    </row>
    <row r="390" spans="1:11" s="648" customFormat="1" ht="21.75" customHeight="1" thickBot="1">
      <c r="A390" s="662"/>
      <c r="B390" s="600"/>
      <c r="C390" s="663"/>
      <c r="D390" s="600" t="s">
        <v>135</v>
      </c>
      <c r="E390" s="664">
        <f>SUM(E384)</f>
        <v>700664</v>
      </c>
      <c r="F390" s="642">
        <f>SUM(F384)</f>
        <v>700663.48</v>
      </c>
      <c r="G390" s="642">
        <f>SUM(G384)</f>
        <v>700663.48</v>
      </c>
      <c r="H390" s="642">
        <f>SUM(H384)</f>
        <v>0</v>
      </c>
      <c r="I390" s="678">
        <f>F390/E390</f>
        <v>0.9999992578468424</v>
      </c>
      <c r="J390" s="647"/>
      <c r="K390" s="647"/>
    </row>
    <row r="392" spans="1:9" s="38" customFormat="1" ht="18" customHeight="1">
      <c r="A392" s="1375" t="s">
        <v>370</v>
      </c>
      <c r="B392" s="1375"/>
      <c r="C392" s="1375"/>
      <c r="D392" s="1375"/>
      <c r="E392" s="1375"/>
      <c r="F392" s="1375"/>
      <c r="G392" s="1375"/>
      <c r="H392" s="70"/>
      <c r="I392" s="683"/>
    </row>
    <row r="393" spans="1:9" s="38" customFormat="1" ht="14.25" customHeight="1" thickBot="1">
      <c r="A393" s="1387"/>
      <c r="B393" s="1387"/>
      <c r="C393" s="1387"/>
      <c r="D393" s="1387"/>
      <c r="E393" s="1387"/>
      <c r="F393" s="1387"/>
      <c r="G393" s="1387"/>
      <c r="H393" s="70"/>
      <c r="I393" s="422" t="s">
        <v>0</v>
      </c>
    </row>
    <row r="394" spans="1:9" s="684" customFormat="1" ht="14.25" customHeight="1">
      <c r="A394" s="1388" t="s">
        <v>1</v>
      </c>
      <c r="B394" s="1390" t="s">
        <v>25</v>
      </c>
      <c r="C394" s="1383" t="s">
        <v>26</v>
      </c>
      <c r="D394" s="1383" t="s">
        <v>27</v>
      </c>
      <c r="E394" s="1378" t="s">
        <v>3</v>
      </c>
      <c r="F394" s="1383" t="s">
        <v>199</v>
      </c>
      <c r="G394" s="1380" t="s">
        <v>4</v>
      </c>
      <c r="H394" s="1381"/>
      <c r="I394" s="1385" t="s">
        <v>216</v>
      </c>
    </row>
    <row r="395" spans="1:9" s="37" customFormat="1" ht="14.25" customHeight="1">
      <c r="A395" s="1389"/>
      <c r="B395" s="1391"/>
      <c r="C395" s="1384"/>
      <c r="D395" s="1384"/>
      <c r="E395" s="1379"/>
      <c r="F395" s="1384"/>
      <c r="G395" s="685" t="s">
        <v>5</v>
      </c>
      <c r="H395" s="686" t="s">
        <v>6</v>
      </c>
      <c r="I395" s="1386"/>
    </row>
    <row r="396" spans="1:9" s="38" customFormat="1" ht="14.25" customHeight="1" thickBot="1">
      <c r="A396" s="687">
        <v>1</v>
      </c>
      <c r="B396" s="688">
        <v>2</v>
      </c>
      <c r="C396" s="689">
        <v>3</v>
      </c>
      <c r="D396" s="670">
        <v>4</v>
      </c>
      <c r="E396" s="671">
        <v>5</v>
      </c>
      <c r="F396" s="690">
        <v>6</v>
      </c>
      <c r="G396" s="673">
        <v>7</v>
      </c>
      <c r="H396" s="674">
        <v>8</v>
      </c>
      <c r="I396" s="675">
        <v>9</v>
      </c>
    </row>
    <row r="397" spans="1:9" s="38" customFormat="1" ht="14.25" customHeight="1">
      <c r="A397" s="691"/>
      <c r="B397" s="692"/>
      <c r="C397" s="693"/>
      <c r="D397" s="694"/>
      <c r="E397" s="695"/>
      <c r="F397" s="932"/>
      <c r="G397" s="931"/>
      <c r="H397" s="697"/>
      <c r="I397" s="698"/>
    </row>
    <row r="398" spans="1:9" s="38" customFormat="1" ht="14.25" customHeight="1">
      <c r="A398" s="470">
        <v>750</v>
      </c>
      <c r="B398" s="699"/>
      <c r="C398" s="700"/>
      <c r="D398" s="701" t="s">
        <v>9</v>
      </c>
      <c r="E398" s="702">
        <f>SUM(E400)</f>
        <v>130000</v>
      </c>
      <c r="F398" s="703">
        <f>SUM(F400)</f>
        <v>69065.6</v>
      </c>
      <c r="G398" s="704">
        <f>G400</f>
        <v>69065.6</v>
      </c>
      <c r="H398" s="704">
        <f>H400</f>
        <v>0</v>
      </c>
      <c r="I398" s="705">
        <f>F398/E398</f>
        <v>0.5312738461538462</v>
      </c>
    </row>
    <row r="399" spans="1:9" s="38" customFormat="1" ht="14.25" customHeight="1">
      <c r="A399" s="470"/>
      <c r="B399" s="706"/>
      <c r="C399" s="707"/>
      <c r="D399" s="708"/>
      <c r="E399" s="709"/>
      <c r="F399" s="752"/>
      <c r="G399" s="711"/>
      <c r="H399" s="711"/>
      <c r="I399" s="934"/>
    </row>
    <row r="400" spans="1:9" s="38" customFormat="1" ht="14.25" customHeight="1">
      <c r="A400" s="470"/>
      <c r="B400" s="509">
        <v>75011</v>
      </c>
      <c r="C400" s="712"/>
      <c r="D400" s="701" t="s">
        <v>43</v>
      </c>
      <c r="E400" s="702">
        <f>SUM(E402)</f>
        <v>130000</v>
      </c>
      <c r="F400" s="703">
        <f>SUM(F402)</f>
        <v>69065.6</v>
      </c>
      <c r="G400" s="704">
        <f>G402</f>
        <v>69065.6</v>
      </c>
      <c r="H400" s="704">
        <f>H402</f>
        <v>0</v>
      </c>
      <c r="I400" s="705">
        <f>F400/E400</f>
        <v>0.5312738461538462</v>
      </c>
    </row>
    <row r="401" spans="1:9" s="38" customFormat="1" ht="14.25" customHeight="1">
      <c r="A401" s="470"/>
      <c r="B401" s="509"/>
      <c r="C401" s="707"/>
      <c r="D401" s="713"/>
      <c r="E401" s="714"/>
      <c r="F401" s="710"/>
      <c r="G401" s="711"/>
      <c r="H401" s="711"/>
      <c r="I401" s="934"/>
    </row>
    <row r="402" spans="1:9" s="38" customFormat="1" ht="13.5" thickBot="1">
      <c r="A402" s="560"/>
      <c r="B402" s="561"/>
      <c r="C402" s="715" t="s">
        <v>71</v>
      </c>
      <c r="D402" s="716" t="s">
        <v>72</v>
      </c>
      <c r="E402" s="717">
        <v>130000</v>
      </c>
      <c r="F402" s="718">
        <f>G402+H402</f>
        <v>69065.6</v>
      </c>
      <c r="G402" s="719">
        <v>69065.6</v>
      </c>
      <c r="H402" s="944"/>
      <c r="I402" s="720">
        <f>F402/E402</f>
        <v>0.5312738461538462</v>
      </c>
    </row>
    <row r="403" spans="1:9" s="38" customFormat="1" ht="14.25" customHeight="1" thickTop="1">
      <c r="A403" s="721"/>
      <c r="B403" s="692"/>
      <c r="C403" s="722"/>
      <c r="D403" s="723"/>
      <c r="E403" s="696"/>
      <c r="F403" s="696"/>
      <c r="G403" s="711"/>
      <c r="H403" s="711"/>
      <c r="I403" s="934"/>
    </row>
    <row r="404" spans="1:9" s="38" customFormat="1" ht="14.25" customHeight="1">
      <c r="A404" s="470">
        <v>852</v>
      </c>
      <c r="B404" s="699"/>
      <c r="C404" s="700"/>
      <c r="D404" s="724" t="s">
        <v>20</v>
      </c>
      <c r="E404" s="702">
        <f>SUM(E406+E412)</f>
        <v>55000</v>
      </c>
      <c r="F404" s="725">
        <f>SUM(F406+F412)</f>
        <v>220224.36</v>
      </c>
      <c r="G404" s="704">
        <f>G406+G412</f>
        <v>220224.36</v>
      </c>
      <c r="H404" s="704">
        <f>H406+H412</f>
        <v>0</v>
      </c>
      <c r="I404" s="705">
        <f>F404/E404</f>
        <v>4.004079272727273</v>
      </c>
    </row>
    <row r="405" spans="1:9" s="38" customFormat="1" ht="14.25" customHeight="1">
      <c r="A405" s="470"/>
      <c r="B405" s="706"/>
      <c r="C405" s="726"/>
      <c r="D405" s="727" t="s">
        <v>397</v>
      </c>
      <c r="E405" s="709"/>
      <c r="F405" s="710"/>
      <c r="G405" s="711"/>
      <c r="H405" s="711"/>
      <c r="I405" s="934"/>
    </row>
    <row r="406" spans="1:9" s="38" customFormat="1" ht="14.25" customHeight="1">
      <c r="A406" s="470"/>
      <c r="B406" s="509">
        <v>85212</v>
      </c>
      <c r="C406" s="700"/>
      <c r="D406" s="728" t="s">
        <v>371</v>
      </c>
      <c r="E406" s="702">
        <f>E408+E410</f>
        <v>49000</v>
      </c>
      <c r="F406" s="703">
        <f>F408+F410</f>
        <v>211660.15</v>
      </c>
      <c r="G406" s="704">
        <f>G408+G410</f>
        <v>211660.15</v>
      </c>
      <c r="H406" s="704">
        <f>H408+H410</f>
        <v>0</v>
      </c>
      <c r="I406" s="945">
        <f>F406/E406</f>
        <v>4.319594897959184</v>
      </c>
    </row>
    <row r="407" spans="1:9" s="38" customFormat="1" ht="14.25" customHeight="1">
      <c r="A407" s="470"/>
      <c r="B407" s="509"/>
      <c r="C407" s="753"/>
      <c r="D407" s="754"/>
      <c r="E407" s="729"/>
      <c r="F407" s="730"/>
      <c r="G407" s="935"/>
      <c r="H407" s="935"/>
      <c r="I407" s="946"/>
    </row>
    <row r="408" spans="1:9" s="38" customFormat="1" ht="14.25" customHeight="1">
      <c r="A408" s="470"/>
      <c r="B408" s="509"/>
      <c r="C408" s="731" t="s">
        <v>39</v>
      </c>
      <c r="D408" s="728" t="s">
        <v>40</v>
      </c>
      <c r="E408" s="702">
        <v>0</v>
      </c>
      <c r="F408" s="703">
        <f>G408+H408</f>
        <v>3529.08</v>
      </c>
      <c r="G408" s="704">
        <v>3529.08</v>
      </c>
      <c r="H408" s="933"/>
      <c r="I408" s="947"/>
    </row>
    <row r="409" spans="1:9" s="38" customFormat="1" ht="14.25" customHeight="1">
      <c r="A409" s="470"/>
      <c r="B409" s="509"/>
      <c r="C409" s="726"/>
      <c r="D409" s="708"/>
      <c r="E409" s="714"/>
      <c r="F409" s="710"/>
      <c r="G409" s="711"/>
      <c r="H409" s="711"/>
      <c r="I409" s="948"/>
    </row>
    <row r="410" spans="1:9" s="38" customFormat="1" ht="12.75">
      <c r="A410" s="470"/>
      <c r="B410" s="481"/>
      <c r="C410" s="731" t="s">
        <v>41</v>
      </c>
      <c r="D410" s="732" t="s">
        <v>42</v>
      </c>
      <c r="E410" s="702">
        <v>49000</v>
      </c>
      <c r="F410" s="703">
        <f>G410+H410</f>
        <v>208131.07</v>
      </c>
      <c r="G410" s="704">
        <v>208131.07</v>
      </c>
      <c r="H410" s="733"/>
      <c r="I410" s="945">
        <f>F410/E410</f>
        <v>4.247572857142857</v>
      </c>
    </row>
    <row r="411" spans="1:9" s="38" customFormat="1" ht="14.25" customHeight="1">
      <c r="A411" s="470"/>
      <c r="B411" s="706"/>
      <c r="C411" s="726"/>
      <c r="D411" s="727"/>
      <c r="E411" s="709"/>
      <c r="F411" s="710"/>
      <c r="G411" s="711"/>
      <c r="H411" s="711"/>
      <c r="I411" s="934"/>
    </row>
    <row r="412" spans="1:9" s="38" customFormat="1" ht="14.25" customHeight="1">
      <c r="A412" s="470"/>
      <c r="B412" s="509">
        <v>85228</v>
      </c>
      <c r="C412" s="700"/>
      <c r="D412" s="701" t="s">
        <v>122</v>
      </c>
      <c r="E412" s="702">
        <f>SUM(E414)</f>
        <v>6000</v>
      </c>
      <c r="F412" s="703">
        <f>SUM(F414)</f>
        <v>8564.21</v>
      </c>
      <c r="G412" s="704">
        <f>G414</f>
        <v>8564.21</v>
      </c>
      <c r="H412" s="704">
        <f>H414</f>
        <v>0</v>
      </c>
      <c r="I412" s="705">
        <f>F412/E412</f>
        <v>1.4273683333333331</v>
      </c>
    </row>
    <row r="413" spans="1:9" s="38" customFormat="1" ht="14.25" customHeight="1">
      <c r="A413" s="470"/>
      <c r="B413" s="509"/>
      <c r="C413" s="726"/>
      <c r="D413" s="734"/>
      <c r="E413" s="714"/>
      <c r="F413" s="710"/>
      <c r="G413" s="949"/>
      <c r="H413" s="949"/>
      <c r="I413" s="735"/>
    </row>
    <row r="414" spans="1:9" s="38" customFormat="1" ht="13.5" thickBot="1">
      <c r="A414" s="470"/>
      <c r="B414" s="509"/>
      <c r="C414" s="736" t="s">
        <v>123</v>
      </c>
      <c r="D414" s="737" t="s">
        <v>124</v>
      </c>
      <c r="E414" s="714">
        <v>6000</v>
      </c>
      <c r="F414" s="710">
        <f>G414+H414</f>
        <v>8564.21</v>
      </c>
      <c r="G414" s="738">
        <v>8564.21</v>
      </c>
      <c r="H414" s="950"/>
      <c r="I414" s="739">
        <f>F414/E414</f>
        <v>1.4273683333333331</v>
      </c>
    </row>
    <row r="415" spans="1:9" s="38" customFormat="1" ht="14.25" customHeight="1">
      <c r="A415" s="740"/>
      <c r="B415" s="741"/>
      <c r="C415" s="742"/>
      <c r="D415" s="743"/>
      <c r="E415" s="695"/>
      <c r="F415" s="744"/>
      <c r="G415" s="711"/>
      <c r="H415" s="711"/>
      <c r="I415" s="934"/>
    </row>
    <row r="416" spans="1:9" s="38" customFormat="1" ht="21" customHeight="1" thickBot="1">
      <c r="A416" s="745"/>
      <c r="B416" s="746"/>
      <c r="C416" s="747"/>
      <c r="D416" s="748" t="s">
        <v>135</v>
      </c>
      <c r="E416" s="749">
        <f>SUM(E398+E404)</f>
        <v>185000</v>
      </c>
      <c r="F416" s="750">
        <f>SUM(F398+F404)</f>
        <v>289289.95999999996</v>
      </c>
      <c r="G416" s="750">
        <f>SUM(G398+G404)</f>
        <v>289289.95999999996</v>
      </c>
      <c r="H416" s="750">
        <f>SUM(H398+H404)</f>
        <v>0</v>
      </c>
      <c r="I416" s="751">
        <f>F416/E416</f>
        <v>1.5637295135135134</v>
      </c>
    </row>
    <row r="419" spans="5:9" ht="12">
      <c r="E419" s="339"/>
      <c r="H419" s="339"/>
      <c r="I419" s="339"/>
    </row>
    <row r="420" spans="5:8" ht="12">
      <c r="E420" s="339"/>
      <c r="H420" s="339"/>
    </row>
    <row r="421" spans="5:9" ht="12">
      <c r="E421" s="339"/>
      <c r="H421" s="339"/>
      <c r="I421" s="339"/>
    </row>
  </sheetData>
  <sheetProtection/>
  <mergeCells count="66">
    <mergeCell ref="F394:F395"/>
    <mergeCell ref="G380:H380"/>
    <mergeCell ref="I394:I395"/>
    <mergeCell ref="A352:I352"/>
    <mergeCell ref="A392:G392"/>
    <mergeCell ref="A393:G393"/>
    <mergeCell ref="A394:A395"/>
    <mergeCell ref="B394:B395"/>
    <mergeCell ref="C394:C395"/>
    <mergeCell ref="D394:D395"/>
    <mergeCell ref="E394:E395"/>
    <mergeCell ref="I355:I356"/>
    <mergeCell ref="G394:H394"/>
    <mergeCell ref="A377:H377"/>
    <mergeCell ref="A378:I378"/>
    <mergeCell ref="A380:A381"/>
    <mergeCell ref="B380:B381"/>
    <mergeCell ref="C380:C381"/>
    <mergeCell ref="D380:D381"/>
    <mergeCell ref="E380:E381"/>
    <mergeCell ref="F380:F381"/>
    <mergeCell ref="I276:I277"/>
    <mergeCell ref="I380:I381"/>
    <mergeCell ref="A353:I353"/>
    <mergeCell ref="A355:A356"/>
    <mergeCell ref="B355:B356"/>
    <mergeCell ref="C355:C356"/>
    <mergeCell ref="D355:D356"/>
    <mergeCell ref="E355:E356"/>
    <mergeCell ref="F355:F356"/>
    <mergeCell ref="G355:H355"/>
    <mergeCell ref="D226:D227"/>
    <mergeCell ref="A273:G273"/>
    <mergeCell ref="C276:C277"/>
    <mergeCell ref="D276:D277"/>
    <mergeCell ref="E276:E277"/>
    <mergeCell ref="F276:F277"/>
    <mergeCell ref="G276:H276"/>
    <mergeCell ref="I5:I6"/>
    <mergeCell ref="C7:D7"/>
    <mergeCell ref="C8:D8"/>
    <mergeCell ref="C43:D43"/>
    <mergeCell ref="A45:G45"/>
    <mergeCell ref="A47:A48"/>
    <mergeCell ref="B47:B48"/>
    <mergeCell ref="C47:C48"/>
    <mergeCell ref="D47:D48"/>
    <mergeCell ref="E47:E48"/>
    <mergeCell ref="A1:G1"/>
    <mergeCell ref="A2:H2"/>
    <mergeCell ref="A3:G3"/>
    <mergeCell ref="B5:B6"/>
    <mergeCell ref="C5:D6"/>
    <mergeCell ref="E5:E6"/>
    <mergeCell ref="F5:F6"/>
    <mergeCell ref="G5:H5"/>
    <mergeCell ref="F47:F48"/>
    <mergeCell ref="G47:H47"/>
    <mergeCell ref="I47:I48"/>
    <mergeCell ref="A274:I274"/>
    <mergeCell ref="A276:A277"/>
    <mergeCell ref="B276:B277"/>
    <mergeCell ref="D195:D196"/>
    <mergeCell ref="D197:D198"/>
    <mergeCell ref="C210:C211"/>
    <mergeCell ref="D210:D211"/>
  </mergeCells>
  <printOptions horizontalCentered="1"/>
  <pageMargins left="0.3937007874015748" right="0.3937007874015748" top="0.48" bottom="0.36" header="0.95" footer="0.39"/>
  <pageSetup fitToHeight="11" fitToWidth="11" horizontalDpi="300" verticalDpi="300" orientation="landscape" paperSize="9" scale="74" r:id="rId1"/>
  <rowBreaks count="11" manualBreakCount="11">
    <brk id="43" max="8" man="1"/>
    <brk id="79" max="8" man="1"/>
    <brk id="112" max="8" man="1"/>
    <brk id="143" max="8" man="1"/>
    <brk id="176" max="8" man="1"/>
    <brk id="214" max="8" man="1"/>
    <brk id="251" max="8" man="1"/>
    <brk id="271" max="8" man="1"/>
    <brk id="326" max="8" man="1"/>
    <brk id="350" max="8" man="1"/>
    <brk id="390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H16"/>
  <sheetViews>
    <sheetView showGridLines="0" view="pageBreakPreview" zoomScaleSheetLayoutView="100" zoomScalePageLayoutView="0" workbookViewId="0" topLeftCell="A1">
      <selection activeCell="A38" sqref="A38"/>
    </sheetView>
  </sheetViews>
  <sheetFormatPr defaultColWidth="9.00390625" defaultRowHeight="12"/>
  <cols>
    <col min="2" max="2" width="34.875" style="0" bestFit="1" customWidth="1"/>
    <col min="3" max="3" width="6.625" style="0" customWidth="1"/>
    <col min="4" max="4" width="9.375" style="0" customWidth="1"/>
    <col min="5" max="5" width="10.75390625" style="0" customWidth="1"/>
    <col min="6" max="6" width="12.875" style="0" customWidth="1"/>
    <col min="7" max="7" width="10.875" style="0" customWidth="1"/>
  </cols>
  <sheetData>
    <row r="1" spans="1:7" s="231" customFormat="1" ht="60" customHeight="1">
      <c r="A1" s="1488" t="s">
        <v>661</v>
      </c>
      <c r="B1" s="1488"/>
      <c r="C1" s="1488"/>
      <c r="D1" s="1488"/>
      <c r="E1" s="1488"/>
      <c r="F1" s="1488"/>
      <c r="G1" s="1488"/>
    </row>
    <row r="2" spans="1:7" s="231" customFormat="1" ht="18">
      <c r="A2" s="230"/>
      <c r="B2" s="230"/>
      <c r="C2" s="230"/>
      <c r="D2" s="230"/>
      <c r="E2" s="230"/>
      <c r="F2" s="230"/>
      <c r="G2" s="230"/>
    </row>
    <row r="3" spans="1:7" s="231" customFormat="1" ht="15" thickBot="1">
      <c r="A3" s="232"/>
      <c r="B3" s="232"/>
      <c r="C3" s="232"/>
      <c r="D3" s="232"/>
      <c r="E3" s="232"/>
      <c r="G3" s="233" t="s">
        <v>0</v>
      </c>
    </row>
    <row r="4" spans="1:7" s="231" customFormat="1" ht="15" customHeight="1">
      <c r="A4" s="1469" t="s">
        <v>264</v>
      </c>
      <c r="B4" s="1491" t="s">
        <v>27</v>
      </c>
      <c r="C4" s="1472" t="s">
        <v>1</v>
      </c>
      <c r="D4" s="1472" t="s">
        <v>25</v>
      </c>
      <c r="E4" s="1460" t="s">
        <v>3</v>
      </c>
      <c r="F4" s="1493" t="s">
        <v>199</v>
      </c>
      <c r="G4" s="1489" t="s">
        <v>265</v>
      </c>
    </row>
    <row r="5" spans="1:7" s="231" customFormat="1" ht="12">
      <c r="A5" s="1471"/>
      <c r="B5" s="1492"/>
      <c r="C5" s="1474"/>
      <c r="D5" s="1474"/>
      <c r="E5" s="1462"/>
      <c r="F5" s="1465"/>
      <c r="G5" s="1490"/>
    </row>
    <row r="6" spans="1:7" s="231" customFormat="1" ht="12.75" thickBot="1">
      <c r="A6" s="1253">
        <v>1</v>
      </c>
      <c r="B6" s="1254">
        <v>2</v>
      </c>
      <c r="C6" s="87">
        <v>3</v>
      </c>
      <c r="D6" s="87">
        <v>4</v>
      </c>
      <c r="E6" s="87">
        <v>5</v>
      </c>
      <c r="F6" s="87">
        <v>6</v>
      </c>
      <c r="G6" s="88">
        <v>7</v>
      </c>
    </row>
    <row r="7" spans="1:7" s="231" customFormat="1" ht="12">
      <c r="A7" s="234"/>
      <c r="B7" s="101" t="s">
        <v>194</v>
      </c>
      <c r="C7" s="226"/>
      <c r="D7" s="226"/>
      <c r="E7" s="226"/>
      <c r="F7" s="1255"/>
      <c r="G7" s="1256"/>
    </row>
    <row r="8" spans="1:7" s="75" customFormat="1" ht="24">
      <c r="A8" s="272">
        <v>1</v>
      </c>
      <c r="B8" s="1302" t="s">
        <v>667</v>
      </c>
      <c r="C8" s="14">
        <v>853</v>
      </c>
      <c r="D8" s="14">
        <v>85395</v>
      </c>
      <c r="E8" s="1303">
        <f>SUM(E10:E13)</f>
        <v>379167</v>
      </c>
      <c r="F8" s="1304">
        <f>SUM(F10:F13)</f>
        <v>379166.5</v>
      </c>
      <c r="G8" s="1305">
        <f>SUM(F8/E8)</f>
        <v>0.9999986813198406</v>
      </c>
    </row>
    <row r="9" spans="1:7" s="75" customFormat="1" ht="12">
      <c r="A9" s="1257"/>
      <c r="B9" s="15" t="s">
        <v>4</v>
      </c>
      <c r="C9" s="1258"/>
      <c r="D9" s="1258"/>
      <c r="E9" s="1259"/>
      <c r="F9" s="102"/>
      <c r="G9" s="170"/>
    </row>
    <row r="10" spans="1:7" s="75" customFormat="1" ht="12">
      <c r="A10" s="13">
        <v>2</v>
      </c>
      <c r="B10" s="15" t="s">
        <v>662</v>
      </c>
      <c r="C10" s="1258"/>
      <c r="D10" s="1258"/>
      <c r="E10" s="1259">
        <v>69766</v>
      </c>
      <c r="F10" s="102">
        <f>65890+3876</f>
        <v>69766</v>
      </c>
      <c r="G10" s="170">
        <f>SUM(F10/E10)</f>
        <v>1</v>
      </c>
    </row>
    <row r="11" spans="1:7" s="75" customFormat="1" ht="12">
      <c r="A11" s="13">
        <v>3</v>
      </c>
      <c r="B11" s="15" t="s">
        <v>663</v>
      </c>
      <c r="C11" s="1258"/>
      <c r="D11" s="1258"/>
      <c r="E11" s="1259">
        <v>69240</v>
      </c>
      <c r="F11" s="1260">
        <f>65395+3845</f>
        <v>69240</v>
      </c>
      <c r="G11" s="170">
        <f>SUM(F11/E11)</f>
        <v>1</v>
      </c>
    </row>
    <row r="12" spans="1:7" s="75" customFormat="1" ht="12">
      <c r="A12" s="13">
        <v>4</v>
      </c>
      <c r="B12" s="15" t="s">
        <v>664</v>
      </c>
      <c r="C12" s="14"/>
      <c r="D12" s="14"/>
      <c r="E12" s="1259">
        <v>45743</v>
      </c>
      <c r="F12" s="102">
        <f>43201.5+2541</f>
        <v>45742.5</v>
      </c>
      <c r="G12" s="170">
        <f>SUM(F12/E12)</f>
        <v>0.9999890693658046</v>
      </c>
    </row>
    <row r="13" spans="1:7" s="75" customFormat="1" ht="12">
      <c r="A13" s="13">
        <v>5</v>
      </c>
      <c r="B13" s="15" t="s">
        <v>665</v>
      </c>
      <c r="C13" s="14"/>
      <c r="D13" s="14"/>
      <c r="E13" s="1259">
        <v>194418</v>
      </c>
      <c r="F13" s="102">
        <f>183617+10801</f>
        <v>194418</v>
      </c>
      <c r="G13" s="170">
        <f>SUM(F13/E13)</f>
        <v>1</v>
      </c>
    </row>
    <row r="14" spans="1:7" s="231" customFormat="1" ht="12.75" thickBot="1">
      <c r="A14" s="151"/>
      <c r="B14" s="152"/>
      <c r="C14" s="1261"/>
      <c r="D14" s="1261"/>
      <c r="E14" s="1306"/>
      <c r="F14" s="1262"/>
      <c r="G14" s="1263"/>
    </row>
    <row r="15" spans="1:7" s="231" customFormat="1" ht="12">
      <c r="A15" s="264"/>
      <c r="B15" s="108"/>
      <c r="C15" s="1264"/>
      <c r="D15" s="1264"/>
      <c r="E15" s="1265"/>
      <c r="F15" s="266"/>
      <c r="G15" s="1266"/>
    </row>
    <row r="16" spans="1:8" s="231" customFormat="1" ht="15.75" thickBot="1">
      <c r="A16" s="267"/>
      <c r="B16" s="268" t="s">
        <v>135</v>
      </c>
      <c r="C16" s="1267" t="s">
        <v>319</v>
      </c>
      <c r="D16" s="1267" t="s">
        <v>319</v>
      </c>
      <c r="E16" s="1268">
        <f>SUM(E8)</f>
        <v>379167</v>
      </c>
      <c r="F16" s="1269">
        <f>SUM(F8)</f>
        <v>379166.5</v>
      </c>
      <c r="G16" s="1270">
        <f>SUM(F16/E16)</f>
        <v>0.9999986813198406</v>
      </c>
      <c r="H16" s="185"/>
    </row>
  </sheetData>
  <sheetProtection/>
  <mergeCells count="8">
    <mergeCell ref="A1:G1"/>
    <mergeCell ref="G4:G5"/>
    <mergeCell ref="A4:A5"/>
    <mergeCell ref="B4:B5"/>
    <mergeCell ref="C4:C5"/>
    <mergeCell ref="D4:D5"/>
    <mergeCell ref="E4:E5"/>
    <mergeCell ref="F4:F5"/>
  </mergeCells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U38"/>
  <sheetViews>
    <sheetView showGridLines="0" view="pageBreakPreview" zoomScaleNormal="85" zoomScaleSheetLayoutView="100" zoomScalePageLayoutView="0" workbookViewId="0" topLeftCell="I1">
      <selection activeCell="A38" sqref="A38"/>
    </sheetView>
  </sheetViews>
  <sheetFormatPr defaultColWidth="9.00390625" defaultRowHeight="12"/>
  <cols>
    <col min="1" max="1" width="4.00390625" style="22" customWidth="1"/>
    <col min="2" max="2" width="5.625" style="22" customWidth="1"/>
    <col min="3" max="3" width="9.75390625" style="22" customWidth="1"/>
    <col min="4" max="4" width="33.625" style="22" customWidth="1"/>
    <col min="5" max="5" width="38.75390625" style="22" customWidth="1"/>
    <col min="6" max="6" width="25.25390625" style="22" customWidth="1"/>
    <col min="7" max="7" width="12.875" style="22" customWidth="1"/>
    <col min="8" max="8" width="13.375" style="22" customWidth="1"/>
    <col min="9" max="9" width="13.125" style="22" bestFit="1" customWidth="1"/>
    <col min="10" max="10" width="15.625" style="22" customWidth="1"/>
    <col min="11" max="11" width="17.875" style="22" customWidth="1"/>
    <col min="12" max="12" width="17.875" style="12" customWidth="1"/>
    <col min="13" max="13" width="14.75390625" style="22" bestFit="1" customWidth="1"/>
    <col min="14" max="14" width="12.75390625" style="22" bestFit="1" customWidth="1"/>
    <col min="15" max="15" width="15.75390625" style="22" customWidth="1"/>
    <col min="16" max="16" width="14.375" style="22" bestFit="1" customWidth="1"/>
    <col min="17" max="17" width="10.625" style="12" bestFit="1" customWidth="1"/>
    <col min="18" max="18" width="11.75390625" style="22" bestFit="1" customWidth="1"/>
    <col min="19" max="19" width="10.75390625" style="22" bestFit="1" customWidth="1"/>
    <col min="20" max="20" width="9.125" style="22" customWidth="1"/>
    <col min="21" max="21" width="11.625" style="22" bestFit="1" customWidth="1"/>
    <col min="22" max="16384" width="9.125" style="22" customWidth="1"/>
  </cols>
  <sheetData>
    <row r="1" spans="1:16" s="12" customFormat="1" ht="64.5" customHeight="1">
      <c r="A1" s="1504" t="s">
        <v>398</v>
      </c>
      <c r="B1" s="1504"/>
      <c r="C1" s="1504"/>
      <c r="D1" s="1504"/>
      <c r="E1" s="1504"/>
      <c r="F1" s="1504"/>
      <c r="G1" s="1504"/>
      <c r="H1" s="1504"/>
      <c r="I1" s="1504"/>
      <c r="J1" s="1504"/>
      <c r="K1" s="1504"/>
      <c r="L1" s="877"/>
      <c r="N1" s="1160"/>
      <c r="O1" s="880"/>
      <c r="P1" s="880"/>
    </row>
    <row r="2" spans="1:17" ht="16.5" thickBot="1">
      <c r="A2" s="826"/>
      <c r="B2" s="826"/>
      <c r="C2" s="826"/>
      <c r="D2" s="826"/>
      <c r="E2" s="826"/>
      <c r="F2" s="826"/>
      <c r="G2" s="826"/>
      <c r="H2" s="826"/>
      <c r="I2" s="826"/>
      <c r="J2" s="826"/>
      <c r="Q2" s="881" t="s">
        <v>0</v>
      </c>
    </row>
    <row r="3" spans="1:17" s="869" customFormat="1" ht="12.75">
      <c r="A3" s="1505" t="s">
        <v>399</v>
      </c>
      <c r="B3" s="1494" t="s">
        <v>1</v>
      </c>
      <c r="C3" s="1494" t="s">
        <v>25</v>
      </c>
      <c r="D3" s="1494" t="s">
        <v>400</v>
      </c>
      <c r="E3" s="1494" t="s">
        <v>401</v>
      </c>
      <c r="F3" s="1494" t="s">
        <v>402</v>
      </c>
      <c r="G3" s="1494" t="s">
        <v>403</v>
      </c>
      <c r="H3" s="1494"/>
      <c r="I3" s="1494" t="s">
        <v>404</v>
      </c>
      <c r="J3" s="1494" t="s">
        <v>405</v>
      </c>
      <c r="K3" s="1496" t="s">
        <v>458</v>
      </c>
      <c r="L3" s="1496" t="s">
        <v>199</v>
      </c>
      <c r="M3" s="1498" t="s">
        <v>4</v>
      </c>
      <c r="N3" s="1499"/>
      <c r="O3" s="1499"/>
      <c r="P3" s="1499"/>
      <c r="Q3" s="1500" t="s">
        <v>406</v>
      </c>
    </row>
    <row r="4" spans="1:17" s="869" customFormat="1" ht="45.75" customHeight="1">
      <c r="A4" s="1506"/>
      <c r="B4" s="1495"/>
      <c r="C4" s="1495"/>
      <c r="D4" s="1495"/>
      <c r="E4" s="1495"/>
      <c r="F4" s="1495"/>
      <c r="G4" s="862" t="s">
        <v>407</v>
      </c>
      <c r="H4" s="862" t="s">
        <v>408</v>
      </c>
      <c r="I4" s="1495"/>
      <c r="J4" s="1495"/>
      <c r="K4" s="1497"/>
      <c r="L4" s="1497"/>
      <c r="M4" s="862" t="s">
        <v>409</v>
      </c>
      <c r="N4" s="862" t="s">
        <v>410</v>
      </c>
      <c r="O4" s="863" t="s">
        <v>411</v>
      </c>
      <c r="P4" s="863" t="s">
        <v>412</v>
      </c>
      <c r="Q4" s="1501"/>
    </row>
    <row r="5" spans="1:17" s="868" customFormat="1" ht="15" customHeight="1" thickBot="1">
      <c r="A5" s="864">
        <v>1</v>
      </c>
      <c r="B5" s="865">
        <v>2</v>
      </c>
      <c r="C5" s="865">
        <v>3</v>
      </c>
      <c r="D5" s="866">
        <v>4</v>
      </c>
      <c r="E5" s="866">
        <v>5</v>
      </c>
      <c r="F5" s="866">
        <v>6</v>
      </c>
      <c r="G5" s="866">
        <v>7</v>
      </c>
      <c r="H5" s="866">
        <v>8</v>
      </c>
      <c r="I5" s="866">
        <v>9</v>
      </c>
      <c r="J5" s="866">
        <v>10</v>
      </c>
      <c r="K5" s="866">
        <v>11</v>
      </c>
      <c r="L5" s="866">
        <v>12</v>
      </c>
      <c r="M5" s="866">
        <v>13</v>
      </c>
      <c r="N5" s="866">
        <v>14</v>
      </c>
      <c r="O5" s="867">
        <v>15</v>
      </c>
      <c r="P5" s="867">
        <v>16</v>
      </c>
      <c r="Q5" s="882">
        <v>17</v>
      </c>
    </row>
    <row r="6" spans="1:17" s="37" customFormat="1" ht="39.75" customHeight="1">
      <c r="A6" s="870" t="s">
        <v>413</v>
      </c>
      <c r="B6" s="871">
        <v>600</v>
      </c>
      <c r="C6" s="871">
        <v>60013</v>
      </c>
      <c r="D6" s="872" t="s">
        <v>414</v>
      </c>
      <c r="E6" s="872" t="s">
        <v>459</v>
      </c>
      <c r="F6" s="873" t="s">
        <v>460</v>
      </c>
      <c r="G6" s="871">
        <v>2006</v>
      </c>
      <c r="H6" s="871">
        <v>2010</v>
      </c>
      <c r="I6" s="874">
        <v>2879962</v>
      </c>
      <c r="J6" s="874">
        <v>2640000</v>
      </c>
      <c r="K6" s="875">
        <v>1490000</v>
      </c>
      <c r="L6" s="876">
        <f>SUM(M6:P6)</f>
        <v>0</v>
      </c>
      <c r="M6" s="876">
        <v>0</v>
      </c>
      <c r="N6" s="876">
        <v>0</v>
      </c>
      <c r="O6" s="876">
        <v>0</v>
      </c>
      <c r="P6" s="1312">
        <v>0</v>
      </c>
      <c r="Q6" s="1298">
        <f aca="true" t="shared" si="0" ref="Q6:Q36">SUM(L6/K6)</f>
        <v>0</v>
      </c>
    </row>
    <row r="7" spans="1:17" s="37" customFormat="1" ht="39.75" customHeight="1">
      <c r="A7" s="870" t="s">
        <v>416</v>
      </c>
      <c r="B7" s="871">
        <v>750</v>
      </c>
      <c r="C7" s="871">
        <v>75023</v>
      </c>
      <c r="D7" s="872" t="s">
        <v>414</v>
      </c>
      <c r="E7" s="872" t="s">
        <v>461</v>
      </c>
      <c r="F7" s="873" t="s">
        <v>415</v>
      </c>
      <c r="G7" s="871">
        <v>2008</v>
      </c>
      <c r="H7" s="871">
        <v>2010</v>
      </c>
      <c r="I7" s="874">
        <v>1129450</v>
      </c>
      <c r="J7" s="874">
        <v>1129450</v>
      </c>
      <c r="K7" s="875">
        <v>621900</v>
      </c>
      <c r="L7" s="876">
        <f>SUM(M7:P7)</f>
        <v>9898.24</v>
      </c>
      <c r="M7" s="876">
        <f>1484.74</f>
        <v>1484.74</v>
      </c>
      <c r="N7" s="888">
        <v>0</v>
      </c>
      <c r="O7" s="876">
        <f>8413.5</f>
        <v>8413.5</v>
      </c>
      <c r="P7" s="1313">
        <v>0</v>
      </c>
      <c r="Q7" s="1298">
        <f>SUM(L7/K7)</f>
        <v>0.01591612799485448</v>
      </c>
    </row>
    <row r="8" spans="1:17" s="37" customFormat="1" ht="39.75" customHeight="1">
      <c r="A8" s="870" t="s">
        <v>419</v>
      </c>
      <c r="B8" s="871">
        <v>750</v>
      </c>
      <c r="C8" s="871">
        <v>75095</v>
      </c>
      <c r="D8" s="872" t="s">
        <v>462</v>
      </c>
      <c r="E8" s="872" t="s">
        <v>463</v>
      </c>
      <c r="F8" s="873" t="s">
        <v>426</v>
      </c>
      <c r="G8" s="871">
        <v>2009</v>
      </c>
      <c r="H8" s="871">
        <v>2009</v>
      </c>
      <c r="I8" s="874">
        <v>18450</v>
      </c>
      <c r="J8" s="874">
        <v>18450</v>
      </c>
      <c r="K8" s="875">
        <v>18450</v>
      </c>
      <c r="L8" s="876">
        <f aca="true" t="shared" si="1" ref="L8:L35">SUM(M8:P8)</f>
        <v>18405.379999999997</v>
      </c>
      <c r="M8" s="876">
        <f>7768.58+636.8</f>
        <v>8405.38</v>
      </c>
      <c r="N8" s="876">
        <v>0</v>
      </c>
      <c r="O8" s="876">
        <f>4000+6000</f>
        <v>10000</v>
      </c>
      <c r="P8" s="1313">
        <v>0</v>
      </c>
      <c r="Q8" s="1298">
        <f t="shared" si="0"/>
        <v>0.997581571815718</v>
      </c>
    </row>
    <row r="9" spans="1:19" s="38" customFormat="1" ht="39.75" customHeight="1">
      <c r="A9" s="870" t="s">
        <v>421</v>
      </c>
      <c r="B9" s="883">
        <v>801</v>
      </c>
      <c r="C9" s="883">
        <v>80101</v>
      </c>
      <c r="D9" s="884" t="s">
        <v>464</v>
      </c>
      <c r="E9" s="884" t="s">
        <v>465</v>
      </c>
      <c r="F9" s="885" t="s">
        <v>420</v>
      </c>
      <c r="G9" s="883">
        <v>2009</v>
      </c>
      <c r="H9" s="883">
        <v>2009</v>
      </c>
      <c r="I9" s="886">
        <v>3000</v>
      </c>
      <c r="J9" s="886">
        <v>3000</v>
      </c>
      <c r="K9" s="887">
        <v>3000</v>
      </c>
      <c r="L9" s="876">
        <f t="shared" si="1"/>
        <v>3000</v>
      </c>
      <c r="M9" s="876">
        <f>800+600</f>
        <v>1400</v>
      </c>
      <c r="N9" s="876">
        <v>0</v>
      </c>
      <c r="O9" s="876">
        <v>1600</v>
      </c>
      <c r="P9" s="1312">
        <v>0</v>
      </c>
      <c r="Q9" s="1299">
        <f t="shared" si="0"/>
        <v>1</v>
      </c>
      <c r="R9" s="827"/>
      <c r="S9" s="827"/>
    </row>
    <row r="10" spans="1:19" s="38" customFormat="1" ht="39.75" customHeight="1">
      <c r="A10" s="870" t="s">
        <v>424</v>
      </c>
      <c r="B10" s="883">
        <v>801</v>
      </c>
      <c r="C10" s="883">
        <v>80101</v>
      </c>
      <c r="D10" s="884" t="s">
        <v>464</v>
      </c>
      <c r="E10" s="884" t="s">
        <v>466</v>
      </c>
      <c r="F10" s="885" t="s">
        <v>420</v>
      </c>
      <c r="G10" s="883">
        <v>2009</v>
      </c>
      <c r="H10" s="883">
        <v>2009</v>
      </c>
      <c r="I10" s="886">
        <v>3000</v>
      </c>
      <c r="J10" s="886">
        <v>3000</v>
      </c>
      <c r="K10" s="887">
        <v>3000</v>
      </c>
      <c r="L10" s="876">
        <f t="shared" si="1"/>
        <v>0</v>
      </c>
      <c r="M10" s="888">
        <v>0</v>
      </c>
      <c r="N10" s="888">
        <v>0</v>
      </c>
      <c r="O10" s="876">
        <v>0</v>
      </c>
      <c r="P10" s="1312">
        <v>0</v>
      </c>
      <c r="Q10" s="1299">
        <f t="shared" si="0"/>
        <v>0</v>
      </c>
      <c r="R10" s="827"/>
      <c r="S10" s="827"/>
    </row>
    <row r="11" spans="1:19" s="38" customFormat="1" ht="39.75" customHeight="1">
      <c r="A11" s="870" t="s">
        <v>427</v>
      </c>
      <c r="B11" s="883">
        <v>801</v>
      </c>
      <c r="C11" s="883">
        <v>80110</v>
      </c>
      <c r="D11" s="884" t="s">
        <v>464</v>
      </c>
      <c r="E11" s="884" t="s">
        <v>467</v>
      </c>
      <c r="F11" s="885" t="s">
        <v>468</v>
      </c>
      <c r="G11" s="883">
        <v>2009</v>
      </c>
      <c r="H11" s="883">
        <v>2009</v>
      </c>
      <c r="I11" s="886">
        <v>5000</v>
      </c>
      <c r="J11" s="886">
        <v>5000</v>
      </c>
      <c r="K11" s="887">
        <v>5000</v>
      </c>
      <c r="L11" s="876">
        <f t="shared" si="1"/>
        <v>0</v>
      </c>
      <c r="M11" s="888">
        <v>0</v>
      </c>
      <c r="N11" s="888">
        <v>0</v>
      </c>
      <c r="O11" s="876">
        <v>0</v>
      </c>
      <c r="P11" s="1312">
        <v>0</v>
      </c>
      <c r="Q11" s="1299">
        <f t="shared" si="0"/>
        <v>0</v>
      </c>
      <c r="R11" s="827"/>
      <c r="S11" s="827"/>
    </row>
    <row r="12" spans="1:19" s="38" customFormat="1" ht="39.75" customHeight="1">
      <c r="A12" s="870" t="s">
        <v>429</v>
      </c>
      <c r="B12" s="883">
        <v>801</v>
      </c>
      <c r="C12" s="883">
        <v>80110</v>
      </c>
      <c r="D12" s="884" t="s">
        <v>464</v>
      </c>
      <c r="E12" s="884" t="s">
        <v>469</v>
      </c>
      <c r="F12" s="885" t="s">
        <v>468</v>
      </c>
      <c r="G12" s="883">
        <v>2009</v>
      </c>
      <c r="H12" s="883">
        <v>2009</v>
      </c>
      <c r="I12" s="886">
        <v>1361</v>
      </c>
      <c r="J12" s="886">
        <v>1361</v>
      </c>
      <c r="K12" s="887">
        <v>1361</v>
      </c>
      <c r="L12" s="876">
        <f t="shared" si="1"/>
        <v>0</v>
      </c>
      <c r="M12" s="888">
        <v>0</v>
      </c>
      <c r="N12" s="888">
        <v>0</v>
      </c>
      <c r="O12" s="876">
        <v>0</v>
      </c>
      <c r="P12" s="1312">
        <v>0</v>
      </c>
      <c r="Q12" s="1299">
        <f t="shared" si="0"/>
        <v>0</v>
      </c>
      <c r="R12" s="827"/>
      <c r="S12" s="827"/>
    </row>
    <row r="13" spans="1:19" s="38" customFormat="1" ht="39.75" customHeight="1">
      <c r="A13" s="870" t="s">
        <v>431</v>
      </c>
      <c r="B13" s="883">
        <v>801</v>
      </c>
      <c r="C13" s="883">
        <v>80110</v>
      </c>
      <c r="D13" s="884" t="s">
        <v>464</v>
      </c>
      <c r="E13" s="884" t="s">
        <v>470</v>
      </c>
      <c r="F13" s="885" t="s">
        <v>471</v>
      </c>
      <c r="G13" s="883">
        <v>2009</v>
      </c>
      <c r="H13" s="883">
        <v>2009</v>
      </c>
      <c r="I13" s="886">
        <v>500</v>
      </c>
      <c r="J13" s="886">
        <v>500</v>
      </c>
      <c r="K13" s="887">
        <v>500</v>
      </c>
      <c r="L13" s="876">
        <f t="shared" si="1"/>
        <v>200</v>
      </c>
      <c r="M13" s="876">
        <v>200</v>
      </c>
      <c r="N13" s="888">
        <v>0</v>
      </c>
      <c r="O13" s="876">
        <v>0</v>
      </c>
      <c r="P13" s="1312">
        <v>0</v>
      </c>
      <c r="Q13" s="1299">
        <f t="shared" si="0"/>
        <v>0.4</v>
      </c>
      <c r="R13" s="827"/>
      <c r="S13" s="827"/>
    </row>
    <row r="14" spans="1:19" s="38" customFormat="1" ht="39.75" customHeight="1">
      <c r="A14" s="870" t="s">
        <v>433</v>
      </c>
      <c r="B14" s="883">
        <v>801</v>
      </c>
      <c r="C14" s="883">
        <v>80110</v>
      </c>
      <c r="D14" s="884" t="s">
        <v>464</v>
      </c>
      <c r="E14" s="884" t="s">
        <v>472</v>
      </c>
      <c r="F14" s="885" t="s">
        <v>471</v>
      </c>
      <c r="G14" s="883">
        <v>2009</v>
      </c>
      <c r="H14" s="883">
        <v>2009</v>
      </c>
      <c r="I14" s="886">
        <v>800</v>
      </c>
      <c r="J14" s="886">
        <v>800</v>
      </c>
      <c r="K14" s="887">
        <v>800</v>
      </c>
      <c r="L14" s="876">
        <f t="shared" si="1"/>
        <v>300</v>
      </c>
      <c r="M14" s="876">
        <v>300</v>
      </c>
      <c r="N14" s="888">
        <v>0</v>
      </c>
      <c r="O14" s="876">
        <v>0</v>
      </c>
      <c r="P14" s="1312">
        <v>0</v>
      </c>
      <c r="Q14" s="1299">
        <f t="shared" si="0"/>
        <v>0.375</v>
      </c>
      <c r="R14" s="827"/>
      <c r="S14" s="827"/>
    </row>
    <row r="15" spans="1:17" s="37" customFormat="1" ht="54.75" customHeight="1">
      <c r="A15" s="870" t="s">
        <v>435</v>
      </c>
      <c r="B15" s="871">
        <v>853</v>
      </c>
      <c r="C15" s="871">
        <v>85395</v>
      </c>
      <c r="D15" s="872" t="s">
        <v>422</v>
      </c>
      <c r="E15" s="872" t="s">
        <v>425</v>
      </c>
      <c r="F15" s="873" t="s">
        <v>426</v>
      </c>
      <c r="G15" s="871">
        <v>2008</v>
      </c>
      <c r="H15" s="871">
        <v>2009</v>
      </c>
      <c r="I15" s="874">
        <v>465066</v>
      </c>
      <c r="J15" s="874">
        <v>465066</v>
      </c>
      <c r="K15" s="875">
        <v>290848</v>
      </c>
      <c r="L15" s="876">
        <f>SUM(M15:P15)</f>
        <v>160664.91</v>
      </c>
      <c r="M15" s="876">
        <v>0</v>
      </c>
      <c r="N15" s="876">
        <v>0</v>
      </c>
      <c r="O15" s="876">
        <f>3008.12+485.17+70119.74+22119.33+40832.84</f>
        <v>136565.2</v>
      </c>
      <c r="P15" s="1312">
        <f>530.84+85.62+12374.08+3903.38+7205.79</f>
        <v>24099.710000000003</v>
      </c>
      <c r="Q15" s="1298">
        <f>SUM(L15/K15)</f>
        <v>0.5524016324678183</v>
      </c>
    </row>
    <row r="16" spans="1:17" s="37" customFormat="1" ht="39.75" customHeight="1">
      <c r="A16" s="870" t="s">
        <v>437</v>
      </c>
      <c r="B16" s="871">
        <v>853</v>
      </c>
      <c r="C16" s="871">
        <v>85395</v>
      </c>
      <c r="D16" s="872" t="s">
        <v>422</v>
      </c>
      <c r="E16" s="872" t="s">
        <v>428</v>
      </c>
      <c r="F16" s="873" t="s">
        <v>426</v>
      </c>
      <c r="G16" s="871">
        <v>2008</v>
      </c>
      <c r="H16" s="871">
        <v>2009</v>
      </c>
      <c r="I16" s="874">
        <v>47889</v>
      </c>
      <c r="J16" s="874">
        <v>47889</v>
      </c>
      <c r="K16" s="875">
        <v>21433</v>
      </c>
      <c r="L16" s="876">
        <f t="shared" si="1"/>
        <v>21418.21</v>
      </c>
      <c r="M16" s="876">
        <v>0</v>
      </c>
      <c r="N16" s="876">
        <v>0</v>
      </c>
      <c r="O16" s="876">
        <f>2141.32+16064.15</f>
        <v>18205.47</v>
      </c>
      <c r="P16" s="1312">
        <f>377.89+2834.85</f>
        <v>3212.74</v>
      </c>
      <c r="Q16" s="1298">
        <f t="shared" si="0"/>
        <v>0.9993099426118601</v>
      </c>
    </row>
    <row r="17" spans="1:17" s="37" customFormat="1" ht="39.75" customHeight="1">
      <c r="A17" s="870" t="s">
        <v>439</v>
      </c>
      <c r="B17" s="871">
        <v>853</v>
      </c>
      <c r="C17" s="871">
        <v>85395</v>
      </c>
      <c r="D17" s="872" t="s">
        <v>422</v>
      </c>
      <c r="E17" s="872" t="s">
        <v>430</v>
      </c>
      <c r="F17" s="873" t="s">
        <v>426</v>
      </c>
      <c r="G17" s="871">
        <v>2008</v>
      </c>
      <c r="H17" s="871">
        <v>2009</v>
      </c>
      <c r="I17" s="874">
        <v>48389</v>
      </c>
      <c r="J17" s="874">
        <v>48389</v>
      </c>
      <c r="K17" s="875">
        <v>21431</v>
      </c>
      <c r="L17" s="876">
        <f t="shared" si="1"/>
        <v>21419.210000000003</v>
      </c>
      <c r="M17" s="876">
        <v>0</v>
      </c>
      <c r="N17" s="876">
        <v>0</v>
      </c>
      <c r="O17" s="876">
        <f>2141.33+16065</f>
        <v>18206.33</v>
      </c>
      <c r="P17" s="1312">
        <f>377.88+2835</f>
        <v>3212.88</v>
      </c>
      <c r="Q17" s="1298">
        <f t="shared" si="0"/>
        <v>0.999449862348934</v>
      </c>
    </row>
    <row r="18" spans="1:17" s="37" customFormat="1" ht="39.75" customHeight="1">
      <c r="A18" s="870" t="s">
        <v>441</v>
      </c>
      <c r="B18" s="871">
        <v>853</v>
      </c>
      <c r="C18" s="871">
        <v>85395</v>
      </c>
      <c r="D18" s="872" t="s">
        <v>422</v>
      </c>
      <c r="E18" s="872" t="s">
        <v>432</v>
      </c>
      <c r="F18" s="873" t="s">
        <v>426</v>
      </c>
      <c r="G18" s="871">
        <v>2008</v>
      </c>
      <c r="H18" s="871">
        <v>2009</v>
      </c>
      <c r="I18" s="874">
        <v>47843</v>
      </c>
      <c r="J18" s="874">
        <v>47843</v>
      </c>
      <c r="K18" s="875">
        <v>26093</v>
      </c>
      <c r="L18" s="876">
        <f t="shared" si="1"/>
        <v>17703.5</v>
      </c>
      <c r="M18" s="876">
        <v>0</v>
      </c>
      <c r="N18" s="876">
        <v>0</v>
      </c>
      <c r="O18" s="876">
        <f>11900+1845.51+1302.46</f>
        <v>15047.970000000001</v>
      </c>
      <c r="P18" s="1312">
        <f>2100+325.69+229.84</f>
        <v>2655.53</v>
      </c>
      <c r="Q18" s="1298">
        <f t="shared" si="0"/>
        <v>0.6784769861648718</v>
      </c>
    </row>
    <row r="19" spans="1:17" s="37" customFormat="1" ht="39.75" customHeight="1">
      <c r="A19" s="870" t="s">
        <v>443</v>
      </c>
      <c r="B19" s="871">
        <v>853</v>
      </c>
      <c r="C19" s="871">
        <v>85395</v>
      </c>
      <c r="D19" s="872" t="s">
        <v>422</v>
      </c>
      <c r="E19" s="872" t="s">
        <v>434</v>
      </c>
      <c r="F19" s="873" t="s">
        <v>426</v>
      </c>
      <c r="G19" s="871">
        <v>2008</v>
      </c>
      <c r="H19" s="871">
        <v>2009</v>
      </c>
      <c r="I19" s="874">
        <v>49549</v>
      </c>
      <c r="J19" s="874">
        <v>49549</v>
      </c>
      <c r="K19" s="875">
        <v>22116</v>
      </c>
      <c r="L19" s="876">
        <f t="shared" si="1"/>
        <v>22097.21</v>
      </c>
      <c r="M19" s="876">
        <v>0</v>
      </c>
      <c r="N19" s="876">
        <v>0</v>
      </c>
      <c r="O19" s="876">
        <f>2141.32+16641.3</f>
        <v>18782.62</v>
      </c>
      <c r="P19" s="1312">
        <f>377.89+2936.7</f>
        <v>3314.5899999999997</v>
      </c>
      <c r="Q19" s="1298">
        <f t="shared" si="0"/>
        <v>0.9991503888587447</v>
      </c>
    </row>
    <row r="20" spans="1:17" s="37" customFormat="1" ht="39.75" customHeight="1">
      <c r="A20" s="870" t="s">
        <v>445</v>
      </c>
      <c r="B20" s="871">
        <v>853</v>
      </c>
      <c r="C20" s="871">
        <v>85395</v>
      </c>
      <c r="D20" s="872" t="s">
        <v>422</v>
      </c>
      <c r="E20" s="872" t="s">
        <v>436</v>
      </c>
      <c r="F20" s="873" t="s">
        <v>426</v>
      </c>
      <c r="G20" s="871">
        <v>2008</v>
      </c>
      <c r="H20" s="871">
        <v>2009</v>
      </c>
      <c r="I20" s="874">
        <v>48389</v>
      </c>
      <c r="J20" s="874">
        <v>48389</v>
      </c>
      <c r="K20" s="875">
        <v>21431</v>
      </c>
      <c r="L20" s="876">
        <f t="shared" si="1"/>
        <v>21419.210000000003</v>
      </c>
      <c r="M20" s="876">
        <v>0</v>
      </c>
      <c r="N20" s="876">
        <v>0</v>
      </c>
      <c r="O20" s="876">
        <f>2141.33+16065</f>
        <v>18206.33</v>
      </c>
      <c r="P20" s="1312">
        <f>377.88+2835</f>
        <v>3212.88</v>
      </c>
      <c r="Q20" s="1298">
        <f>SUM(L20/K20)</f>
        <v>0.999449862348934</v>
      </c>
    </row>
    <row r="21" spans="1:17" s="37" customFormat="1" ht="39.75" customHeight="1">
      <c r="A21" s="870" t="s">
        <v>447</v>
      </c>
      <c r="B21" s="871">
        <v>853</v>
      </c>
      <c r="C21" s="871">
        <v>85395</v>
      </c>
      <c r="D21" s="872" t="s">
        <v>422</v>
      </c>
      <c r="E21" s="872" t="s">
        <v>438</v>
      </c>
      <c r="F21" s="873" t="s">
        <v>426</v>
      </c>
      <c r="G21" s="871">
        <v>2008</v>
      </c>
      <c r="H21" s="871">
        <v>2009</v>
      </c>
      <c r="I21" s="874">
        <v>49549</v>
      </c>
      <c r="J21" s="874">
        <f>I21</f>
        <v>49549</v>
      </c>
      <c r="K21" s="875">
        <v>22116</v>
      </c>
      <c r="L21" s="876">
        <f t="shared" si="1"/>
        <v>22096.120000000003</v>
      </c>
      <c r="M21" s="876">
        <v>0</v>
      </c>
      <c r="N21" s="876">
        <v>0</v>
      </c>
      <c r="O21" s="876">
        <f>2140.4+16641.3</f>
        <v>18781.7</v>
      </c>
      <c r="P21" s="1312">
        <f>377.72+2936.7</f>
        <v>3314.42</v>
      </c>
      <c r="Q21" s="1298">
        <f t="shared" si="0"/>
        <v>0.9991011032736482</v>
      </c>
    </row>
    <row r="22" spans="1:17" s="37" customFormat="1" ht="39.75" customHeight="1">
      <c r="A22" s="870" t="s">
        <v>449</v>
      </c>
      <c r="B22" s="871">
        <v>853</v>
      </c>
      <c r="C22" s="871">
        <v>85395</v>
      </c>
      <c r="D22" s="872" t="s">
        <v>422</v>
      </c>
      <c r="E22" s="872" t="s">
        <v>440</v>
      </c>
      <c r="F22" s="873" t="s">
        <v>426</v>
      </c>
      <c r="G22" s="871">
        <v>2008</v>
      </c>
      <c r="H22" s="871">
        <v>2009</v>
      </c>
      <c r="I22" s="874">
        <v>47843</v>
      </c>
      <c r="J22" s="874">
        <v>47843</v>
      </c>
      <c r="K22" s="875">
        <v>26080</v>
      </c>
      <c r="L22" s="876">
        <f t="shared" si="1"/>
        <v>18801.230000000003</v>
      </c>
      <c r="M22" s="876">
        <v>0</v>
      </c>
      <c r="N22" s="876">
        <v>0</v>
      </c>
      <c r="O22" s="876">
        <f>12750+1937.35+1293.7</f>
        <v>15981.050000000001</v>
      </c>
      <c r="P22" s="1312">
        <f>2250+341.88+228.3</f>
        <v>2820.1800000000003</v>
      </c>
      <c r="Q22" s="1298">
        <f t="shared" si="0"/>
        <v>0.7209060582822087</v>
      </c>
    </row>
    <row r="23" spans="1:17" s="37" customFormat="1" ht="39.75" customHeight="1">
      <c r="A23" s="870" t="s">
        <v>451</v>
      </c>
      <c r="B23" s="871">
        <v>853</v>
      </c>
      <c r="C23" s="871">
        <v>85395</v>
      </c>
      <c r="D23" s="872" t="s">
        <v>422</v>
      </c>
      <c r="E23" s="872" t="s">
        <v>442</v>
      </c>
      <c r="F23" s="889" t="s">
        <v>426</v>
      </c>
      <c r="G23" s="871">
        <v>2008</v>
      </c>
      <c r="H23" s="871">
        <v>2009</v>
      </c>
      <c r="I23" s="874">
        <v>47889</v>
      </c>
      <c r="J23" s="874">
        <f>I23</f>
        <v>47889</v>
      </c>
      <c r="K23" s="875">
        <v>21432</v>
      </c>
      <c r="L23" s="876">
        <f t="shared" si="1"/>
        <v>21419.210000000003</v>
      </c>
      <c r="M23" s="876">
        <v>0</v>
      </c>
      <c r="N23" s="876">
        <v>0</v>
      </c>
      <c r="O23" s="876">
        <f>2141.33+16065</f>
        <v>18206.33</v>
      </c>
      <c r="P23" s="1312">
        <f>377.88+2835</f>
        <v>3212.88</v>
      </c>
      <c r="Q23" s="1298">
        <f t="shared" si="0"/>
        <v>0.9994032288167228</v>
      </c>
    </row>
    <row r="24" spans="1:17" s="37" customFormat="1" ht="39.75" customHeight="1">
      <c r="A24" s="870" t="s">
        <v>452</v>
      </c>
      <c r="B24" s="871">
        <v>853</v>
      </c>
      <c r="C24" s="871">
        <v>85395</v>
      </c>
      <c r="D24" s="872" t="s">
        <v>422</v>
      </c>
      <c r="E24" s="872" t="s">
        <v>444</v>
      </c>
      <c r="F24" s="889" t="s">
        <v>426</v>
      </c>
      <c r="G24" s="871">
        <v>2008</v>
      </c>
      <c r="H24" s="871">
        <v>2009</v>
      </c>
      <c r="I24" s="874">
        <v>47889</v>
      </c>
      <c r="J24" s="874">
        <v>47889</v>
      </c>
      <c r="K24" s="875">
        <v>21433</v>
      </c>
      <c r="L24" s="876">
        <f t="shared" si="1"/>
        <v>21418.21</v>
      </c>
      <c r="M24" s="876">
        <v>0</v>
      </c>
      <c r="N24" s="876">
        <v>0</v>
      </c>
      <c r="O24" s="876">
        <f>2141.32+16064.15</f>
        <v>18205.47</v>
      </c>
      <c r="P24" s="1312">
        <f>377.89+2834.85</f>
        <v>3212.74</v>
      </c>
      <c r="Q24" s="1298">
        <f t="shared" si="0"/>
        <v>0.9993099426118601</v>
      </c>
    </row>
    <row r="25" spans="1:17" s="37" customFormat="1" ht="39.75" customHeight="1" thickBot="1">
      <c r="A25" s="1276" t="s">
        <v>473</v>
      </c>
      <c r="B25" s="1277">
        <v>853</v>
      </c>
      <c r="C25" s="1277">
        <v>85395</v>
      </c>
      <c r="D25" s="1278" t="s">
        <v>422</v>
      </c>
      <c r="E25" s="1278" t="s">
        <v>446</v>
      </c>
      <c r="F25" s="1279" t="s">
        <v>426</v>
      </c>
      <c r="G25" s="1277">
        <v>2008</v>
      </c>
      <c r="H25" s="1277">
        <v>2009</v>
      </c>
      <c r="I25" s="1280">
        <v>45630</v>
      </c>
      <c r="J25" s="1280">
        <v>45630</v>
      </c>
      <c r="K25" s="1281">
        <v>25570</v>
      </c>
      <c r="L25" s="1282">
        <f t="shared" si="1"/>
        <v>25280.280000000002</v>
      </c>
      <c r="M25" s="1282">
        <v>0</v>
      </c>
      <c r="N25" s="1282">
        <v>0</v>
      </c>
      <c r="O25" s="1282">
        <f>219.5+35.4+17340+2954.94+938.4</f>
        <v>21488.24</v>
      </c>
      <c r="P25" s="1314">
        <f>38.74+6.24+3060+521.46+165.6</f>
        <v>3792.04</v>
      </c>
      <c r="Q25" s="1311">
        <f t="shared" si="0"/>
        <v>0.9886695346108723</v>
      </c>
    </row>
    <row r="26" spans="1:17" s="868" customFormat="1" ht="15" customHeight="1" thickBot="1">
      <c r="A26" s="1271">
        <v>1</v>
      </c>
      <c r="B26" s="1272">
        <v>2</v>
      </c>
      <c r="C26" s="1272">
        <v>3</v>
      </c>
      <c r="D26" s="1273">
        <v>4</v>
      </c>
      <c r="E26" s="1273">
        <v>5</v>
      </c>
      <c r="F26" s="1273">
        <v>6</v>
      </c>
      <c r="G26" s="1273">
        <v>7</v>
      </c>
      <c r="H26" s="1273">
        <v>8</v>
      </c>
      <c r="I26" s="1273">
        <v>9</v>
      </c>
      <c r="J26" s="1273">
        <v>10</v>
      </c>
      <c r="K26" s="1273">
        <v>11</v>
      </c>
      <c r="L26" s="1273">
        <v>12</v>
      </c>
      <c r="M26" s="1273">
        <v>13</v>
      </c>
      <c r="N26" s="1273">
        <v>14</v>
      </c>
      <c r="O26" s="1274">
        <v>15</v>
      </c>
      <c r="P26" s="1274">
        <v>16</v>
      </c>
      <c r="Q26" s="1275">
        <v>17</v>
      </c>
    </row>
    <row r="27" spans="1:17" s="37" customFormat="1" ht="39.75" customHeight="1">
      <c r="A27" s="870" t="s">
        <v>474</v>
      </c>
      <c r="B27" s="871">
        <v>853</v>
      </c>
      <c r="C27" s="871">
        <v>85395</v>
      </c>
      <c r="D27" s="872" t="s">
        <v>422</v>
      </c>
      <c r="E27" s="872" t="s">
        <v>448</v>
      </c>
      <c r="F27" s="873" t="s">
        <v>426</v>
      </c>
      <c r="G27" s="871">
        <v>2008</v>
      </c>
      <c r="H27" s="871">
        <v>2009</v>
      </c>
      <c r="I27" s="874">
        <v>48689</v>
      </c>
      <c r="J27" s="874">
        <v>48689</v>
      </c>
      <c r="K27" s="875">
        <v>21532</v>
      </c>
      <c r="L27" s="876">
        <f t="shared" si="1"/>
        <v>21518.22</v>
      </c>
      <c r="M27" s="876">
        <v>0</v>
      </c>
      <c r="N27" s="876">
        <v>0</v>
      </c>
      <c r="O27" s="876">
        <f>2141.33+16149.15</f>
        <v>18290.48</v>
      </c>
      <c r="P27" s="1312">
        <f>377.89+2849.85</f>
        <v>3227.74</v>
      </c>
      <c r="Q27" s="1298">
        <f t="shared" si="0"/>
        <v>0.9993600222924021</v>
      </c>
    </row>
    <row r="28" spans="1:17" s="37" customFormat="1" ht="39.75" customHeight="1">
      <c r="A28" s="870" t="s">
        <v>475</v>
      </c>
      <c r="B28" s="871">
        <v>853</v>
      </c>
      <c r="C28" s="871">
        <v>85395</v>
      </c>
      <c r="D28" s="872" t="s">
        <v>422</v>
      </c>
      <c r="E28" s="872" t="s">
        <v>450</v>
      </c>
      <c r="F28" s="873" t="s">
        <v>426</v>
      </c>
      <c r="G28" s="871">
        <v>2008</v>
      </c>
      <c r="H28" s="871">
        <v>2009</v>
      </c>
      <c r="I28" s="874">
        <v>47889</v>
      </c>
      <c r="J28" s="874">
        <v>47889</v>
      </c>
      <c r="K28" s="875">
        <v>21432</v>
      </c>
      <c r="L28" s="876">
        <f t="shared" si="1"/>
        <v>21418.219999999998</v>
      </c>
      <c r="M28" s="876">
        <v>0</v>
      </c>
      <c r="N28" s="876">
        <v>0</v>
      </c>
      <c r="O28" s="876">
        <f>2141.34+16064.15</f>
        <v>18205.489999999998</v>
      </c>
      <c r="P28" s="1312">
        <f>377.88+2834.85</f>
        <v>3212.73</v>
      </c>
      <c r="Q28" s="1298">
        <f t="shared" si="0"/>
        <v>0.99935703620754</v>
      </c>
    </row>
    <row r="29" spans="1:17" s="37" customFormat="1" ht="39.75" customHeight="1">
      <c r="A29" s="870" t="s">
        <v>476</v>
      </c>
      <c r="B29" s="871">
        <v>853</v>
      </c>
      <c r="C29" s="871">
        <v>85395</v>
      </c>
      <c r="D29" s="872" t="s">
        <v>422</v>
      </c>
      <c r="E29" s="872" t="s">
        <v>477</v>
      </c>
      <c r="F29" s="873" t="s">
        <v>426</v>
      </c>
      <c r="G29" s="871">
        <v>2008</v>
      </c>
      <c r="H29" s="871">
        <v>2009</v>
      </c>
      <c r="I29" s="893">
        <v>45169</v>
      </c>
      <c r="J29" s="893">
        <v>45169</v>
      </c>
      <c r="K29" s="894">
        <v>33657</v>
      </c>
      <c r="L29" s="876">
        <f t="shared" si="1"/>
        <v>33026.71</v>
      </c>
      <c r="M29" s="878">
        <v>0</v>
      </c>
      <c r="N29" s="878">
        <v>0</v>
      </c>
      <c r="O29" s="878">
        <f>6829.51+999.6+20243.6</f>
        <v>28072.71</v>
      </c>
      <c r="P29" s="1315">
        <f>1205.2+176.4+3572.4</f>
        <v>4954</v>
      </c>
      <c r="Q29" s="1298">
        <f t="shared" si="0"/>
        <v>0.9812731378316546</v>
      </c>
    </row>
    <row r="30" spans="1:21" s="37" customFormat="1" ht="39.75" customHeight="1">
      <c r="A30" s="870" t="s">
        <v>478</v>
      </c>
      <c r="B30" s="871">
        <v>853</v>
      </c>
      <c r="C30" s="871">
        <v>85395</v>
      </c>
      <c r="D30" s="872" t="s">
        <v>422</v>
      </c>
      <c r="E30" s="872" t="s">
        <v>479</v>
      </c>
      <c r="F30" s="889" t="s">
        <v>423</v>
      </c>
      <c r="G30" s="871">
        <v>2009</v>
      </c>
      <c r="H30" s="871">
        <v>2009</v>
      </c>
      <c r="I30" s="874">
        <v>357219</v>
      </c>
      <c r="J30" s="874">
        <v>357219</v>
      </c>
      <c r="K30" s="875">
        <v>357219</v>
      </c>
      <c r="L30" s="876">
        <f>SUM(M30:P30)</f>
        <v>213919.34</v>
      </c>
      <c r="M30" s="876">
        <f>20963.27</f>
        <v>20963.27</v>
      </c>
      <c r="N30" s="888">
        <v>0</v>
      </c>
      <c r="O30" s="876">
        <f>64623.76+12859.75+2002.93+23048.5+20361.52+2958.76+48478.89+283.45+1047.33+2362.14+1453.03+399.05+2348.26</f>
        <v>182227.37</v>
      </c>
      <c r="P30" s="1312">
        <f>3804.62+757.08+117.93+1356.89+1198.75+174.17+2854.56+16.69+61.65+139.05+85.55+23.5+138.26</f>
        <v>10728.699999999999</v>
      </c>
      <c r="Q30" s="1298">
        <f t="shared" si="0"/>
        <v>0.5988464779309052</v>
      </c>
      <c r="R30" s="828"/>
      <c r="S30" s="828"/>
      <c r="U30" s="824"/>
    </row>
    <row r="31" spans="1:17" s="37" customFormat="1" ht="39.75" customHeight="1">
      <c r="A31" s="870" t="s">
        <v>480</v>
      </c>
      <c r="B31" s="890">
        <v>900</v>
      </c>
      <c r="C31" s="890">
        <v>90001</v>
      </c>
      <c r="D31" s="891" t="s">
        <v>417</v>
      </c>
      <c r="E31" s="891" t="s">
        <v>481</v>
      </c>
      <c r="F31" s="892" t="s">
        <v>418</v>
      </c>
      <c r="G31" s="890">
        <v>2008</v>
      </c>
      <c r="H31" s="890">
        <v>2010</v>
      </c>
      <c r="I31" s="893">
        <v>5524567</v>
      </c>
      <c r="J31" s="893">
        <v>3389147</v>
      </c>
      <c r="K31" s="894">
        <v>1500000</v>
      </c>
      <c r="L31" s="878">
        <f t="shared" si="1"/>
        <v>915.65</v>
      </c>
      <c r="M31" s="878">
        <v>915.65</v>
      </c>
      <c r="N31" s="895">
        <v>0</v>
      </c>
      <c r="O31" s="878">
        <v>0</v>
      </c>
      <c r="P31" s="1316">
        <v>0</v>
      </c>
      <c r="Q31" s="1300">
        <f t="shared" si="0"/>
        <v>0.0006104333333333333</v>
      </c>
    </row>
    <row r="32" spans="1:17" s="37" customFormat="1" ht="39.75" customHeight="1">
      <c r="A32" s="870" t="s">
        <v>482</v>
      </c>
      <c r="B32" s="871">
        <v>900</v>
      </c>
      <c r="C32" s="871">
        <v>90002</v>
      </c>
      <c r="D32" s="872" t="s">
        <v>483</v>
      </c>
      <c r="E32" s="872" t="s">
        <v>484</v>
      </c>
      <c r="F32" s="873" t="s">
        <v>485</v>
      </c>
      <c r="G32" s="871">
        <v>2008</v>
      </c>
      <c r="H32" s="871">
        <v>2012</v>
      </c>
      <c r="I32" s="874">
        <v>14260000</v>
      </c>
      <c r="J32" s="874">
        <v>14260000</v>
      </c>
      <c r="K32" s="875">
        <v>1350000</v>
      </c>
      <c r="L32" s="878">
        <f t="shared" si="1"/>
        <v>0</v>
      </c>
      <c r="M32" s="876">
        <v>0</v>
      </c>
      <c r="N32" s="876">
        <v>0</v>
      </c>
      <c r="O32" s="876">
        <v>0</v>
      </c>
      <c r="P32" s="1312">
        <v>0</v>
      </c>
      <c r="Q32" s="1300">
        <f t="shared" si="0"/>
        <v>0</v>
      </c>
    </row>
    <row r="33" spans="1:17" s="37" customFormat="1" ht="48.75" customHeight="1">
      <c r="A33" s="899" t="s">
        <v>486</v>
      </c>
      <c r="B33" s="871">
        <v>900</v>
      </c>
      <c r="C33" s="871">
        <v>90095</v>
      </c>
      <c r="D33" s="872" t="s">
        <v>487</v>
      </c>
      <c r="E33" s="872" t="s">
        <v>488</v>
      </c>
      <c r="F33" s="873" t="s">
        <v>489</v>
      </c>
      <c r="G33" s="871">
        <v>2008</v>
      </c>
      <c r="H33" s="896">
        <v>2011</v>
      </c>
      <c r="I33" s="897">
        <v>7150280</v>
      </c>
      <c r="J33" s="897">
        <v>6176800</v>
      </c>
      <c r="K33" s="898">
        <v>1150280</v>
      </c>
      <c r="L33" s="878">
        <f t="shared" si="1"/>
        <v>113053.19</v>
      </c>
      <c r="M33" s="879">
        <f>98169.19</f>
        <v>98169.19</v>
      </c>
      <c r="N33" s="879">
        <v>0</v>
      </c>
      <c r="O33" s="879">
        <f>12651.4</f>
        <v>12651.4</v>
      </c>
      <c r="P33" s="1317">
        <f>2232.6</f>
        <v>2232.6</v>
      </c>
      <c r="Q33" s="1300">
        <f t="shared" si="0"/>
        <v>0.09828319191848942</v>
      </c>
    </row>
    <row r="34" spans="1:17" s="37" customFormat="1" ht="39.75" customHeight="1">
      <c r="A34" s="870" t="s">
        <v>490</v>
      </c>
      <c r="B34" s="871">
        <v>921</v>
      </c>
      <c r="C34" s="871">
        <v>92109</v>
      </c>
      <c r="D34" s="872" t="s">
        <v>453</v>
      </c>
      <c r="E34" s="872" t="s">
        <v>454</v>
      </c>
      <c r="F34" s="873" t="s">
        <v>418</v>
      </c>
      <c r="G34" s="890">
        <v>2006</v>
      </c>
      <c r="H34" s="871">
        <v>2010</v>
      </c>
      <c r="I34" s="874">
        <v>1059760</v>
      </c>
      <c r="J34" s="874">
        <v>1000000</v>
      </c>
      <c r="K34" s="875">
        <v>270000</v>
      </c>
      <c r="L34" s="878">
        <f t="shared" si="1"/>
        <v>0</v>
      </c>
      <c r="M34" s="876">
        <v>0</v>
      </c>
      <c r="N34" s="876">
        <v>0</v>
      </c>
      <c r="O34" s="876">
        <v>0</v>
      </c>
      <c r="P34" s="1312">
        <v>0</v>
      </c>
      <c r="Q34" s="1300">
        <f t="shared" si="0"/>
        <v>0</v>
      </c>
    </row>
    <row r="35" spans="1:17" s="37" customFormat="1" ht="39.75" customHeight="1" thickBot="1">
      <c r="A35" s="900" t="s">
        <v>491</v>
      </c>
      <c r="B35" s="901">
        <v>921</v>
      </c>
      <c r="C35" s="901">
        <v>92109</v>
      </c>
      <c r="D35" s="902" t="s">
        <v>453</v>
      </c>
      <c r="E35" s="902" t="s">
        <v>492</v>
      </c>
      <c r="F35" s="903" t="s">
        <v>418</v>
      </c>
      <c r="G35" s="901">
        <v>2008</v>
      </c>
      <c r="H35" s="901">
        <v>2010</v>
      </c>
      <c r="I35" s="897">
        <v>725479</v>
      </c>
      <c r="J35" s="897">
        <v>573950</v>
      </c>
      <c r="K35" s="898">
        <v>250000</v>
      </c>
      <c r="L35" s="879">
        <f t="shared" si="1"/>
        <v>1000</v>
      </c>
      <c r="M35" s="879">
        <f>500</f>
        <v>500</v>
      </c>
      <c r="N35" s="879">
        <v>0</v>
      </c>
      <c r="O35" s="879">
        <f>500</f>
        <v>500</v>
      </c>
      <c r="P35" s="1317">
        <v>0</v>
      </c>
      <c r="Q35" s="1301">
        <f t="shared" si="0"/>
        <v>0.004</v>
      </c>
    </row>
    <row r="36" spans="1:17" s="48" customFormat="1" ht="39.75" customHeight="1" thickBot="1">
      <c r="A36" s="1502" t="s">
        <v>24</v>
      </c>
      <c r="B36" s="1503"/>
      <c r="C36" s="1503"/>
      <c r="D36" s="1503"/>
      <c r="E36" s="1503"/>
      <c r="F36" s="1503"/>
      <c r="G36" s="1503"/>
      <c r="H36" s="1503"/>
      <c r="I36" s="904">
        <f>SUM(I6:I25,I27:I35)</f>
        <v>34206500</v>
      </c>
      <c r="J36" s="904">
        <f aca="true" t="shared" si="2" ref="J36:P36">SUM(J6:J25,J27:J35)</f>
        <v>30646349</v>
      </c>
      <c r="K36" s="904">
        <f t="shared" si="2"/>
        <v>7618114</v>
      </c>
      <c r="L36" s="1283">
        <f t="shared" si="2"/>
        <v>810392.25</v>
      </c>
      <c r="M36" s="1283">
        <f t="shared" si="2"/>
        <v>132338.23</v>
      </c>
      <c r="N36" s="1283">
        <f t="shared" si="2"/>
        <v>0</v>
      </c>
      <c r="O36" s="1283">
        <f t="shared" si="2"/>
        <v>597637.66</v>
      </c>
      <c r="P36" s="1283">
        <f t="shared" si="2"/>
        <v>80416.36</v>
      </c>
      <c r="Q36" s="905">
        <f t="shared" si="0"/>
        <v>0.1063770179863415</v>
      </c>
    </row>
    <row r="37" ht="12"/>
    <row r="38" spans="11:15" ht="12">
      <c r="K38" s="825"/>
      <c r="L38" s="880"/>
      <c r="O38" s="943"/>
    </row>
    <row r="40" ht="12"/>
    <row r="41" ht="12"/>
  </sheetData>
  <sheetProtection/>
  <mergeCells count="15">
    <mergeCell ref="Q3:Q4"/>
    <mergeCell ref="A36:H36"/>
    <mergeCell ref="A1:K1"/>
    <mergeCell ref="A3:A4"/>
    <mergeCell ref="B3:B4"/>
    <mergeCell ref="C3:C4"/>
    <mergeCell ref="D3:D4"/>
    <mergeCell ref="E3:E4"/>
    <mergeCell ref="F3:F4"/>
    <mergeCell ref="G3:H3"/>
    <mergeCell ref="I3:I4"/>
    <mergeCell ref="K3:K4"/>
    <mergeCell ref="L3:L4"/>
    <mergeCell ref="M3:P3"/>
    <mergeCell ref="J3:J4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58" r:id="rId3"/>
  <rowBreaks count="1" manualBreakCount="1">
    <brk id="25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83"/>
  <sheetViews>
    <sheetView showGridLines="0" view="pageBreakPreview" zoomScaleSheetLayoutView="100" zoomScalePageLayoutView="0" workbookViewId="0" topLeftCell="A1">
      <selection activeCell="A38" sqref="A38"/>
    </sheetView>
  </sheetViews>
  <sheetFormatPr defaultColWidth="9.00390625" defaultRowHeight="12"/>
  <cols>
    <col min="1" max="1" width="76.00390625" style="1" customWidth="1"/>
    <col min="2" max="3" width="18.00390625" style="22" customWidth="1"/>
    <col min="4" max="4" width="12.375" style="1" customWidth="1"/>
    <col min="5" max="5" width="11.25390625" style="37" bestFit="1" customWidth="1"/>
    <col min="6" max="6" width="13.375" style="37" bestFit="1" customWidth="1"/>
    <col min="7" max="7" width="14.25390625" style="37" customWidth="1"/>
    <col min="8" max="8" width="9.875" style="37" bestFit="1" customWidth="1"/>
    <col min="9" max="9" width="9.125" style="38" customWidth="1"/>
    <col min="10" max="16384" width="9.125" style="1" customWidth="1"/>
  </cols>
  <sheetData>
    <row r="1" spans="1:9" ht="15.75" customHeight="1">
      <c r="A1" s="71" t="s">
        <v>671</v>
      </c>
      <c r="B1" s="955"/>
      <c r="C1" s="955"/>
      <c r="D1" s="71"/>
      <c r="F1" s="1"/>
      <c r="G1" s="1"/>
      <c r="H1" s="1"/>
      <c r="I1" s="1"/>
    </row>
    <row r="2" spans="1:4" ht="14.25" customHeight="1">
      <c r="A2" s="1392"/>
      <c r="B2" s="1392"/>
      <c r="C2" s="1392"/>
      <c r="D2" s="1392"/>
    </row>
    <row r="3" spans="1:4" ht="10.5" customHeight="1" thickBot="1">
      <c r="A3" s="2"/>
      <c r="B3" s="31"/>
      <c r="C3" s="31"/>
      <c r="D3" s="36" t="s">
        <v>0</v>
      </c>
    </row>
    <row r="4" spans="1:6" ht="20.25" customHeight="1">
      <c r="A4" s="35" t="s">
        <v>149</v>
      </c>
      <c r="B4" s="63" t="s">
        <v>3</v>
      </c>
      <c r="C4" s="63" t="s">
        <v>199</v>
      </c>
      <c r="D4" s="1393" t="s">
        <v>200</v>
      </c>
      <c r="F4" s="39"/>
    </row>
    <row r="5" spans="1:6" ht="12" customHeight="1">
      <c r="A5" s="29"/>
      <c r="B5" s="55"/>
      <c r="C5" s="55"/>
      <c r="D5" s="1394"/>
      <c r="F5" s="332"/>
    </row>
    <row r="6" spans="1:4" ht="12.75" customHeight="1" thickBot="1">
      <c r="A6" s="30">
        <v>1</v>
      </c>
      <c r="B6" s="56">
        <v>2</v>
      </c>
      <c r="C6" s="56">
        <v>3</v>
      </c>
      <c r="D6" s="19">
        <v>4</v>
      </c>
    </row>
    <row r="7" spans="1:7" ht="9.75" customHeight="1">
      <c r="A7" s="3"/>
      <c r="B7" s="57"/>
      <c r="C7" s="57"/>
      <c r="D7" s="17"/>
      <c r="F7" s="39"/>
      <c r="G7" s="39"/>
    </row>
    <row r="8" spans="1:8" ht="15">
      <c r="A8" s="4" t="s">
        <v>150</v>
      </c>
      <c r="B8" s="58">
        <f>SUM(B10,B31,B37,B40,B76,)</f>
        <v>114700248.57</v>
      </c>
      <c r="C8" s="58">
        <f>C10+C31+C37+C40+C76</f>
        <v>75065543.39</v>
      </c>
      <c r="D8" s="16">
        <f>SUM(C8/B8)</f>
        <v>0.6544497010761797</v>
      </c>
      <c r="F8" s="39"/>
      <c r="G8" s="39"/>
      <c r="H8" s="39"/>
    </row>
    <row r="9" spans="1:9" s="6" customFormat="1" ht="14.25">
      <c r="A9" s="5"/>
      <c r="B9" s="59"/>
      <c r="C9" s="59"/>
      <c r="D9" s="20"/>
      <c r="E9" s="37"/>
      <c r="F9" s="39"/>
      <c r="G9" s="39"/>
      <c r="H9" s="37"/>
      <c r="I9" s="37"/>
    </row>
    <row r="10" spans="1:7" ht="15">
      <c r="A10" s="7" t="s">
        <v>151</v>
      </c>
      <c r="B10" s="60">
        <f>SUM(B11:B19,B23:B30)</f>
        <v>63464572</v>
      </c>
      <c r="C10" s="60">
        <f>C11+C12+C13+C14+C15+C16+C17+C18+C19+C23+C24+C25+C26+C27+C28+C29+C30</f>
        <v>42153778.690000005</v>
      </c>
      <c r="D10" s="21">
        <f aca="true" t="shared" si="0" ref="D10:D19">SUM(C10/B10)</f>
        <v>0.6642096111512421</v>
      </c>
      <c r="E10" s="39"/>
      <c r="F10" s="40"/>
      <c r="G10" s="40"/>
    </row>
    <row r="11" spans="1:7" ht="14.25">
      <c r="A11" s="8" t="s">
        <v>152</v>
      </c>
      <c r="B11" s="64">
        <f>33400000+2820000</f>
        <v>36220000</v>
      </c>
      <c r="C11" s="62">
        <f>16927632.12+2181646.6</f>
        <v>19109278.720000003</v>
      </c>
      <c r="D11" s="18">
        <f t="shared" si="0"/>
        <v>0.5275891419105467</v>
      </c>
      <c r="F11" s="40"/>
      <c r="G11" s="39"/>
    </row>
    <row r="12" spans="1:4" ht="14.25">
      <c r="A12" s="8" t="s">
        <v>153</v>
      </c>
      <c r="B12" s="64">
        <f>166000+150000</f>
        <v>316000</v>
      </c>
      <c r="C12" s="62">
        <f>189979.23+118297.29</f>
        <v>308276.52</v>
      </c>
      <c r="D12" s="18">
        <f t="shared" si="0"/>
        <v>0.9755586075949367</v>
      </c>
    </row>
    <row r="13" spans="1:7" ht="14.25">
      <c r="A13" s="8" t="s">
        <v>154</v>
      </c>
      <c r="B13" s="64">
        <f>64000</f>
        <v>64000</v>
      </c>
      <c r="C13" s="62">
        <v>64556.6</v>
      </c>
      <c r="D13" s="18">
        <f t="shared" si="0"/>
        <v>1.008696875</v>
      </c>
      <c r="G13" s="40"/>
    </row>
    <row r="14" spans="1:4" ht="14.25">
      <c r="A14" s="8" t="s">
        <v>155</v>
      </c>
      <c r="B14" s="64">
        <f>2000</f>
        <v>2000</v>
      </c>
      <c r="C14" s="62">
        <v>758.73</v>
      </c>
      <c r="D14" s="18">
        <f t="shared" si="0"/>
        <v>0.379365</v>
      </c>
    </row>
    <row r="15" spans="1:4" ht="14.25">
      <c r="A15" s="8" t="s">
        <v>156</v>
      </c>
      <c r="B15" s="64">
        <f>168000</f>
        <v>168000</v>
      </c>
      <c r="C15" s="62">
        <v>108784</v>
      </c>
      <c r="D15" s="18">
        <f t="shared" si="0"/>
        <v>0.6475238095238095</v>
      </c>
    </row>
    <row r="16" spans="1:4" ht="14.25">
      <c r="A16" s="8" t="s">
        <v>157</v>
      </c>
      <c r="B16" s="64">
        <v>100000</v>
      </c>
      <c r="C16" s="62">
        <v>83723.14</v>
      </c>
      <c r="D16" s="18">
        <f t="shared" si="0"/>
        <v>0.8372314</v>
      </c>
    </row>
    <row r="17" spans="1:4" ht="14.25">
      <c r="A17" s="8" t="s">
        <v>158</v>
      </c>
      <c r="B17" s="64">
        <v>120000</v>
      </c>
      <c r="C17" s="62">
        <v>99268.74</v>
      </c>
      <c r="D17" s="18">
        <f t="shared" si="0"/>
        <v>0.8272395</v>
      </c>
    </row>
    <row r="18" spans="1:4" ht="14.25">
      <c r="A18" s="8" t="s">
        <v>159</v>
      </c>
      <c r="B18" s="64">
        <f>23946+1279000</f>
        <v>1302946</v>
      </c>
      <c r="C18" s="62">
        <f>11118+1208634.53</f>
        <v>1219752.53</v>
      </c>
      <c r="D18" s="18">
        <f t="shared" si="0"/>
        <v>0.9361497176398715</v>
      </c>
    </row>
    <row r="19" spans="1:4" ht="14.25">
      <c r="A19" s="8" t="s">
        <v>160</v>
      </c>
      <c r="B19" s="61">
        <f>SUM(B21:B22)</f>
        <v>23317205</v>
      </c>
      <c r="C19" s="61">
        <f>SUM(C21:C22)</f>
        <v>19539026.9</v>
      </c>
      <c r="D19" s="20">
        <f t="shared" si="0"/>
        <v>0.8379660812691744</v>
      </c>
    </row>
    <row r="20" spans="1:4" ht="14.25">
      <c r="A20" s="8" t="s">
        <v>161</v>
      </c>
      <c r="B20" s="956"/>
      <c r="C20" s="43"/>
      <c r="D20" s="18"/>
    </row>
    <row r="21" spans="1:4" ht="14.25">
      <c r="A21" s="8" t="s">
        <v>162</v>
      </c>
      <c r="B21" s="64">
        <v>22849805</v>
      </c>
      <c r="C21" s="62">
        <v>15406512</v>
      </c>
      <c r="D21" s="18">
        <f>SUM(C21/B21)</f>
        <v>0.6742513557555524</v>
      </c>
    </row>
    <row r="22" spans="1:4" ht="14.25">
      <c r="A22" s="8" t="s">
        <v>163</v>
      </c>
      <c r="B22" s="64">
        <v>467400</v>
      </c>
      <c r="C22" s="62">
        <v>4132514.9</v>
      </c>
      <c r="D22" s="18">
        <f>SUM(C22/B22)</f>
        <v>8.841495293110826</v>
      </c>
    </row>
    <row r="23" spans="1:4" ht="14.25">
      <c r="A23" s="8" t="s">
        <v>164</v>
      </c>
      <c r="B23" s="64">
        <f>45979+221652</f>
        <v>267631</v>
      </c>
      <c r="C23" s="62">
        <f>40623.85+177809.03</f>
        <v>218432.88</v>
      </c>
      <c r="D23" s="18">
        <f>SUM(C23/B23)</f>
        <v>0.816171818660768</v>
      </c>
    </row>
    <row r="24" spans="1:4" ht="14.25">
      <c r="A24" s="8" t="s">
        <v>165</v>
      </c>
      <c r="B24" s="64">
        <f>197887+860</f>
        <v>198747</v>
      </c>
      <c r="C24" s="62">
        <f>153104+574.67</f>
        <v>153678.67</v>
      </c>
      <c r="D24" s="18">
        <f>SUM(C24/B24)</f>
        <v>0.7732376840908292</v>
      </c>
    </row>
    <row r="25" spans="1:4" ht="14.25">
      <c r="A25" s="8" t="s">
        <v>493</v>
      </c>
      <c r="B25" s="64">
        <v>709798</v>
      </c>
      <c r="C25" s="62">
        <v>721331.16</v>
      </c>
      <c r="D25" s="18">
        <f>SUM(C25/B25)</f>
        <v>1.0162485101395045</v>
      </c>
    </row>
    <row r="26" spans="1:4" ht="14.25">
      <c r="A26" s="8" t="s">
        <v>166</v>
      </c>
      <c r="B26" s="64">
        <v>2000</v>
      </c>
      <c r="C26" s="62">
        <v>4593.25</v>
      </c>
      <c r="D26" s="18">
        <f aca="true" t="shared" si="1" ref="D26:D49">SUM(C26/B26)</f>
        <v>2.296625</v>
      </c>
    </row>
    <row r="27" spans="1:4" ht="14.25">
      <c r="A27" s="8" t="s">
        <v>167</v>
      </c>
      <c r="B27" s="64">
        <v>340000</v>
      </c>
      <c r="C27" s="62">
        <v>300983.02</v>
      </c>
      <c r="D27" s="18">
        <f t="shared" si="1"/>
        <v>0.8852441764705883</v>
      </c>
    </row>
    <row r="28" spans="1:4" ht="14.25">
      <c r="A28" s="8" t="s">
        <v>168</v>
      </c>
      <c r="B28" s="64">
        <v>1045</v>
      </c>
      <c r="C28" s="62">
        <v>1045</v>
      </c>
      <c r="D28" s="18">
        <f t="shared" si="1"/>
        <v>1</v>
      </c>
    </row>
    <row r="29" spans="1:6" ht="14.25">
      <c r="A29" s="32" t="s">
        <v>169</v>
      </c>
      <c r="B29" s="64">
        <f>252000+40000</f>
        <v>292000</v>
      </c>
      <c r="C29" s="62">
        <f>828.31+154835.43+33942.41+17.75+72.5</f>
        <v>189696.4</v>
      </c>
      <c r="D29" s="18">
        <f t="shared" si="1"/>
        <v>0.649645205479452</v>
      </c>
      <c r="F29" s="41"/>
    </row>
    <row r="30" spans="1:8" ht="14.25">
      <c r="A30" s="9" t="s">
        <v>170</v>
      </c>
      <c r="B30" s="61">
        <v>43200</v>
      </c>
      <c r="C30" s="61">
        <f>1264.12+484+11823.13+925.2+740+15355.98</f>
        <v>30592.43</v>
      </c>
      <c r="D30" s="20">
        <f t="shared" si="1"/>
        <v>0.7081581018518519</v>
      </c>
      <c r="H30" s="40"/>
    </row>
    <row r="31" spans="1:4" ht="15">
      <c r="A31" s="7" t="s">
        <v>171</v>
      </c>
      <c r="B31" s="60">
        <f>SUM(B32,B33,B35,B36,)</f>
        <v>9991065</v>
      </c>
      <c r="C31" s="60">
        <f>C32+C33+C35+C36</f>
        <v>5199329.84</v>
      </c>
      <c r="D31" s="21">
        <f t="shared" si="1"/>
        <v>0.520397959576882</v>
      </c>
    </row>
    <row r="32" spans="1:4" ht="14.25">
      <c r="A32" s="8" t="s">
        <v>172</v>
      </c>
      <c r="B32" s="64">
        <v>1038000</v>
      </c>
      <c r="C32" s="64">
        <v>1519955.38</v>
      </c>
      <c r="D32" s="18">
        <f t="shared" si="1"/>
        <v>1.4643115414258188</v>
      </c>
    </row>
    <row r="33" spans="1:5" ht="14.25">
      <c r="A33" s="8" t="s">
        <v>173</v>
      </c>
      <c r="B33" s="64">
        <v>889565</v>
      </c>
      <c r="C33" s="64">
        <v>799761.21</v>
      </c>
      <c r="D33" s="18">
        <f t="shared" si="1"/>
        <v>0.8990475232276449</v>
      </c>
      <c r="E33" s="332"/>
    </row>
    <row r="34" spans="1:4" ht="14.25">
      <c r="A34" s="8" t="s">
        <v>174</v>
      </c>
      <c r="B34" s="64">
        <v>554957</v>
      </c>
      <c r="C34" s="64">
        <v>399086.9</v>
      </c>
      <c r="D34" s="18">
        <f t="shared" si="1"/>
        <v>0.7191312119677741</v>
      </c>
    </row>
    <row r="35" spans="1:4" ht="14.25">
      <c r="A35" s="8" t="s">
        <v>175</v>
      </c>
      <c r="B35" s="64">
        <f>6712000+1136000</f>
        <v>7848000</v>
      </c>
      <c r="C35" s="64">
        <v>2659180.27</v>
      </c>
      <c r="D35" s="18">
        <f t="shared" si="1"/>
        <v>0.33883540647298677</v>
      </c>
    </row>
    <row r="36" spans="1:5" ht="14.25">
      <c r="A36" s="9" t="s">
        <v>176</v>
      </c>
      <c r="B36" s="61">
        <v>215500</v>
      </c>
      <c r="C36" s="61">
        <v>220432.98</v>
      </c>
      <c r="D36" s="20">
        <f t="shared" si="1"/>
        <v>1.0228908584686776</v>
      </c>
      <c r="E36" s="42"/>
    </row>
    <row r="37" spans="1:4" ht="15">
      <c r="A37" s="7" t="s">
        <v>177</v>
      </c>
      <c r="B37" s="60">
        <f>SUM(B38:B39)</f>
        <v>18305767</v>
      </c>
      <c r="C37" s="60">
        <f>SUM(C38:C39)</f>
        <v>15425491</v>
      </c>
      <c r="D37" s="27">
        <f t="shared" si="1"/>
        <v>0.8426574532495689</v>
      </c>
    </row>
    <row r="38" spans="1:4" ht="14.25">
      <c r="A38" s="10" t="s">
        <v>178</v>
      </c>
      <c r="B38" s="65">
        <v>17480200</v>
      </c>
      <c r="C38" s="65">
        <v>14806165</v>
      </c>
      <c r="D38" s="26">
        <f t="shared" si="1"/>
        <v>0.8470249196233453</v>
      </c>
    </row>
    <row r="39" spans="1:4" ht="14.25">
      <c r="A39" s="9" t="s">
        <v>179</v>
      </c>
      <c r="B39" s="61">
        <v>825567</v>
      </c>
      <c r="C39" s="61">
        <v>619326</v>
      </c>
      <c r="D39" s="25">
        <f t="shared" si="1"/>
        <v>0.750182601775507</v>
      </c>
    </row>
    <row r="40" spans="1:4" ht="15">
      <c r="A40" s="7" t="s">
        <v>180</v>
      </c>
      <c r="B40" s="60">
        <f>B41+B61+B64+B68+B74</f>
        <v>21738414.57</v>
      </c>
      <c r="C40" s="60">
        <f>C41+C61+C64+C68+C74</f>
        <v>11001358.9</v>
      </c>
      <c r="D40" s="27">
        <f t="shared" si="1"/>
        <v>0.5060791744758781</v>
      </c>
    </row>
    <row r="41" spans="1:4" ht="14.25">
      <c r="A41" s="8" t="s">
        <v>181</v>
      </c>
      <c r="B41" s="62">
        <f>B42+B54</f>
        <v>7015761</v>
      </c>
      <c r="C41" s="62">
        <f>C42+C54</f>
        <v>2366583.7600000002</v>
      </c>
      <c r="D41" s="26">
        <f t="shared" si="1"/>
        <v>0.33732388546303105</v>
      </c>
    </row>
    <row r="42" spans="1:4" ht="14.25">
      <c r="A42" s="8" t="s">
        <v>252</v>
      </c>
      <c r="B42" s="62">
        <f>SUM(B43:B45)+B48+B49</f>
        <v>6000741</v>
      </c>
      <c r="C42" s="62">
        <f>SUM(C43:C45)+C48+C49</f>
        <v>2226675.4000000004</v>
      </c>
      <c r="D42" s="26">
        <f t="shared" si="1"/>
        <v>0.37106673992428607</v>
      </c>
    </row>
    <row r="43" spans="1:6" ht="14.25">
      <c r="A43" s="8" t="s">
        <v>236</v>
      </c>
      <c r="B43" s="62">
        <v>2263359</v>
      </c>
      <c r="C43" s="62">
        <v>1454146</v>
      </c>
      <c r="D43" s="26">
        <f t="shared" si="1"/>
        <v>0.6424725374984702</v>
      </c>
      <c r="E43" s="40"/>
      <c r="F43" s="39"/>
    </row>
    <row r="44" spans="1:6" ht="14.25">
      <c r="A44" s="8" t="s">
        <v>249</v>
      </c>
      <c r="B44" s="62">
        <v>250000</v>
      </c>
      <c r="C44" s="62">
        <v>0</v>
      </c>
      <c r="D44" s="26">
        <f t="shared" si="1"/>
        <v>0</v>
      </c>
      <c r="E44" s="40"/>
      <c r="F44" s="39"/>
    </row>
    <row r="45" spans="1:5" ht="14.25">
      <c r="A45" s="28" t="s">
        <v>237</v>
      </c>
      <c r="B45" s="62">
        <f>SUM(B46:B47)</f>
        <v>729340</v>
      </c>
      <c r="C45" s="62">
        <f>SUM(C46:C47)</f>
        <v>650066.3200000001</v>
      </c>
      <c r="D45" s="26">
        <f t="shared" si="1"/>
        <v>0.8913076480105302</v>
      </c>
      <c r="E45" s="40"/>
    </row>
    <row r="46" spans="1:5" ht="14.25">
      <c r="A46" s="11" t="s">
        <v>217</v>
      </c>
      <c r="B46" s="62">
        <v>619939</v>
      </c>
      <c r="C46" s="62">
        <v>552556.3</v>
      </c>
      <c r="D46" s="26">
        <f t="shared" si="1"/>
        <v>0.8913075318700712</v>
      </c>
      <c r="E46" s="40"/>
    </row>
    <row r="47" spans="1:4" ht="14.25">
      <c r="A47" s="11" t="s">
        <v>218</v>
      </c>
      <c r="B47" s="62">
        <v>109401</v>
      </c>
      <c r="C47" s="62">
        <v>97510.02</v>
      </c>
      <c r="D47" s="26">
        <f t="shared" si="1"/>
        <v>0.8913083061397976</v>
      </c>
    </row>
    <row r="48" spans="1:4" ht="14.25">
      <c r="A48" s="28" t="s">
        <v>250</v>
      </c>
      <c r="B48" s="62">
        <v>975000</v>
      </c>
      <c r="C48" s="62">
        <v>0</v>
      </c>
      <c r="D48" s="26">
        <f t="shared" si="1"/>
        <v>0</v>
      </c>
    </row>
    <row r="49" spans="1:4" ht="14.25">
      <c r="A49" s="8" t="s">
        <v>251</v>
      </c>
      <c r="B49" s="62">
        <f>SUM(B50:B53)</f>
        <v>1783042</v>
      </c>
      <c r="C49" s="62">
        <f>SUM(C50:C53)</f>
        <v>122463.08</v>
      </c>
      <c r="D49" s="26">
        <f t="shared" si="1"/>
        <v>0.0686821061982836</v>
      </c>
    </row>
    <row r="50" spans="1:4" ht="14.25">
      <c r="A50" s="11" t="s">
        <v>219</v>
      </c>
      <c r="B50" s="62">
        <f>1670500-200000</f>
        <v>1470500</v>
      </c>
      <c r="C50" s="62">
        <v>122463.08</v>
      </c>
      <c r="D50" s="26">
        <f>SUM(C50/B50)</f>
        <v>0.08327989119347161</v>
      </c>
    </row>
    <row r="51" spans="1:5" ht="14.25">
      <c r="A51" s="11" t="s">
        <v>220</v>
      </c>
      <c r="B51" s="62">
        <f>112542+200000</f>
        <v>312542</v>
      </c>
      <c r="C51" s="62">
        <v>0</v>
      </c>
      <c r="D51" s="26">
        <f>SUM(C51/B51)</f>
        <v>0</v>
      </c>
      <c r="E51" s="39"/>
    </row>
    <row r="52" spans="1:5" ht="14.25">
      <c r="A52" s="11" t="s">
        <v>239</v>
      </c>
      <c r="B52" s="43"/>
      <c r="C52" s="43"/>
      <c r="D52" s="26"/>
      <c r="E52" s="39"/>
    </row>
    <row r="53" spans="1:6" ht="14.25" hidden="1">
      <c r="A53" s="34" t="s">
        <v>221</v>
      </c>
      <c r="B53" s="43">
        <v>0</v>
      </c>
      <c r="C53" s="43">
        <v>0</v>
      </c>
      <c r="D53" s="26"/>
      <c r="E53" s="39"/>
      <c r="F53" s="40"/>
    </row>
    <row r="54" spans="1:4" ht="14.25">
      <c r="A54" s="8" t="s">
        <v>253</v>
      </c>
      <c r="B54" s="62">
        <f>SUM(B55:B60)</f>
        <v>1015020</v>
      </c>
      <c r="C54" s="62">
        <f>SUM(C55:C60)</f>
        <v>139908.36</v>
      </c>
      <c r="D54" s="26">
        <f aca="true" t="shared" si="2" ref="D54:D61">SUM(C54/B54)</f>
        <v>0.13783803274812317</v>
      </c>
    </row>
    <row r="55" spans="1:4" ht="14.25">
      <c r="A55" s="8" t="s">
        <v>248</v>
      </c>
      <c r="B55" s="62">
        <f>54076+63483</f>
        <v>117559</v>
      </c>
      <c r="C55" s="62">
        <v>117557.99</v>
      </c>
      <c r="D55" s="26">
        <f t="shared" si="2"/>
        <v>0.9999914085693141</v>
      </c>
    </row>
    <row r="56" spans="1:8" ht="14.25">
      <c r="A56" s="8" t="s">
        <v>240</v>
      </c>
      <c r="B56" s="62">
        <v>869309</v>
      </c>
      <c r="C56" s="62">
        <v>0</v>
      </c>
      <c r="D56" s="26">
        <f t="shared" si="2"/>
        <v>0</v>
      </c>
      <c r="H56" s="40"/>
    </row>
    <row r="57" spans="1:9" s="6" customFormat="1" ht="14.25">
      <c r="A57" s="8" t="s">
        <v>238</v>
      </c>
      <c r="B57" s="62">
        <v>7400</v>
      </c>
      <c r="C57" s="62">
        <v>1600</v>
      </c>
      <c r="D57" s="26">
        <f t="shared" si="2"/>
        <v>0.21621621621621623</v>
      </c>
      <c r="E57" s="37"/>
      <c r="F57" s="37"/>
      <c r="G57" s="37"/>
      <c r="H57" s="40"/>
      <c r="I57" s="37"/>
    </row>
    <row r="58" spans="1:9" s="6" customFormat="1" ht="14.25">
      <c r="A58" s="32" t="s">
        <v>241</v>
      </c>
      <c r="B58" s="62">
        <v>10000</v>
      </c>
      <c r="C58" s="62">
        <v>10000</v>
      </c>
      <c r="D58" s="26">
        <f t="shared" si="2"/>
        <v>1</v>
      </c>
      <c r="E58" s="37"/>
      <c r="F58" s="37"/>
      <c r="G58" s="37"/>
      <c r="H58" s="40"/>
      <c r="I58" s="37"/>
    </row>
    <row r="59" spans="1:9" s="6" customFormat="1" ht="14.25">
      <c r="A59" s="32" t="s">
        <v>255</v>
      </c>
      <c r="B59" s="62">
        <v>2287</v>
      </c>
      <c r="C59" s="62">
        <v>2286.07</v>
      </c>
      <c r="D59" s="26">
        <f t="shared" si="2"/>
        <v>0.9995933537385222</v>
      </c>
      <c r="E59" s="37"/>
      <c r="F59" s="37"/>
      <c r="G59" s="37"/>
      <c r="H59" s="40"/>
      <c r="I59" s="37"/>
    </row>
    <row r="60" spans="1:4" s="44" customFormat="1" ht="14.25">
      <c r="A60" s="32" t="s">
        <v>236</v>
      </c>
      <c r="B60" s="62">
        <v>8465</v>
      </c>
      <c r="C60" s="62">
        <v>8464.3</v>
      </c>
      <c r="D60" s="26">
        <f t="shared" si="2"/>
        <v>0.9999173065564086</v>
      </c>
    </row>
    <row r="61" spans="1:9" s="6" customFormat="1" ht="14.25">
      <c r="A61" s="32" t="s">
        <v>229</v>
      </c>
      <c r="B61" s="62">
        <f>SUM(B63)</f>
        <v>9061989.57</v>
      </c>
      <c r="C61" s="62">
        <f>SUM(C63)</f>
        <v>6872927.67</v>
      </c>
      <c r="D61" s="33">
        <f t="shared" si="2"/>
        <v>0.7584347363136503</v>
      </c>
      <c r="E61" s="37"/>
      <c r="F61" s="37"/>
      <c r="G61" s="37"/>
      <c r="H61" s="37"/>
      <c r="I61" s="37"/>
    </row>
    <row r="62" spans="1:9" s="6" customFormat="1" ht="14.25">
      <c r="A62" s="32" t="s">
        <v>230</v>
      </c>
      <c r="B62" s="43"/>
      <c r="C62" s="43"/>
      <c r="D62" s="33"/>
      <c r="E62" s="37"/>
      <c r="F62" s="37"/>
      <c r="G62" s="37"/>
      <c r="H62" s="37"/>
      <c r="I62" s="37"/>
    </row>
    <row r="63" spans="1:9" s="6" customFormat="1" ht="14.25">
      <c r="A63" s="32" t="s">
        <v>183</v>
      </c>
      <c r="B63" s="62">
        <v>9061989.57</v>
      </c>
      <c r="C63" s="62">
        <v>6872927.67</v>
      </c>
      <c r="D63" s="33">
        <f aca="true" t="shared" si="3" ref="D63:D68">SUM(C63/B63)</f>
        <v>0.7584347363136503</v>
      </c>
      <c r="E63" s="37"/>
      <c r="F63" s="37"/>
      <c r="G63" s="37"/>
      <c r="H63" s="37"/>
      <c r="I63" s="37"/>
    </row>
    <row r="64" spans="1:9" s="6" customFormat="1" ht="14.25">
      <c r="A64" s="32" t="s">
        <v>228</v>
      </c>
      <c r="B64" s="62">
        <f>B65+B66+B67</f>
        <v>4960000</v>
      </c>
      <c r="C64" s="62">
        <f>C65+C66+C67</f>
        <v>1061183.99</v>
      </c>
      <c r="D64" s="33">
        <f t="shared" si="3"/>
        <v>0.21394838508064515</v>
      </c>
      <c r="E64" s="37"/>
      <c r="F64" s="37"/>
      <c r="G64" s="37"/>
      <c r="H64" s="37"/>
      <c r="I64" s="37"/>
    </row>
    <row r="65" spans="1:4" ht="14.25">
      <c r="A65" s="32" t="s">
        <v>243</v>
      </c>
      <c r="B65" s="62">
        <v>1660000</v>
      </c>
      <c r="C65" s="62">
        <v>1061183.99</v>
      </c>
      <c r="D65" s="33">
        <f t="shared" si="3"/>
        <v>0.6392674638554217</v>
      </c>
    </row>
    <row r="66" spans="1:4" ht="14.25">
      <c r="A66" s="32" t="s">
        <v>242</v>
      </c>
      <c r="B66" s="62">
        <v>2700000</v>
      </c>
      <c r="C66" s="62">
        <v>0</v>
      </c>
      <c r="D66" s="33">
        <f t="shared" si="3"/>
        <v>0</v>
      </c>
    </row>
    <row r="67" spans="1:4" ht="14.25">
      <c r="A67" s="32" t="s">
        <v>244</v>
      </c>
      <c r="B67" s="62">
        <v>600000</v>
      </c>
      <c r="C67" s="62">
        <v>0</v>
      </c>
      <c r="D67" s="33">
        <f t="shared" si="3"/>
        <v>0</v>
      </c>
    </row>
    <row r="68" spans="1:8" s="12" customFormat="1" ht="14.25">
      <c r="A68" s="28" t="s">
        <v>208</v>
      </c>
      <c r="B68" s="62">
        <f>B70</f>
        <v>700664</v>
      </c>
      <c r="C68" s="62">
        <f>C70</f>
        <v>700663.48</v>
      </c>
      <c r="D68" s="26">
        <f t="shared" si="3"/>
        <v>0.9999992578468424</v>
      </c>
      <c r="E68" s="44"/>
      <c r="F68" s="44"/>
      <c r="G68" s="44"/>
      <c r="H68" s="44"/>
    </row>
    <row r="69" spans="1:8" s="12" customFormat="1" ht="14.25">
      <c r="A69" s="28" t="s">
        <v>222</v>
      </c>
      <c r="B69" s="62"/>
      <c r="C69" s="62"/>
      <c r="D69" s="26"/>
      <c r="E69" s="44"/>
      <c r="F69" s="44"/>
      <c r="G69" s="44"/>
      <c r="H69" s="44"/>
    </row>
    <row r="70" spans="1:9" s="12" customFormat="1" ht="14.25">
      <c r="A70" s="28" t="s">
        <v>245</v>
      </c>
      <c r="B70" s="62">
        <f>B71+B72</f>
        <v>700664</v>
      </c>
      <c r="C70" s="62">
        <f>C71+C72</f>
        <v>700663.48</v>
      </c>
      <c r="D70" s="26">
        <f>SUM(C70/B70)</f>
        <v>0.9999992578468424</v>
      </c>
      <c r="E70" s="1295"/>
      <c r="F70" s="1295"/>
      <c r="G70" s="1295"/>
      <c r="H70" s="1295"/>
      <c r="I70" s="48"/>
    </row>
    <row r="71" spans="1:9" s="12" customFormat="1" ht="14.25">
      <c r="A71" s="11" t="s">
        <v>246</v>
      </c>
      <c r="B71" s="62">
        <v>661740</v>
      </c>
      <c r="C71" s="62">
        <v>661739.37</v>
      </c>
      <c r="D71" s="26">
        <f>SUM(C71/B71)</f>
        <v>0.9999990479644574</v>
      </c>
      <c r="E71" s="1295"/>
      <c r="F71" s="1295"/>
      <c r="G71" s="1295"/>
      <c r="H71" s="1295"/>
      <c r="I71" s="48"/>
    </row>
    <row r="72" spans="1:9" s="12" customFormat="1" ht="14.25">
      <c r="A72" s="11" t="s">
        <v>223</v>
      </c>
      <c r="B72" s="62">
        <v>38924</v>
      </c>
      <c r="C72" s="62">
        <v>38924.11</v>
      </c>
      <c r="D72" s="26">
        <f>SUM(C72/B72)</f>
        <v>1.0000028260199363</v>
      </c>
      <c r="E72" s="1295"/>
      <c r="F72" s="1295"/>
      <c r="G72" s="1295"/>
      <c r="H72" s="1295"/>
      <c r="I72" s="48"/>
    </row>
    <row r="73" spans="1:9" s="22" customFormat="1" ht="14.25" hidden="1">
      <c r="A73" s="46" t="s">
        <v>225</v>
      </c>
      <c r="B73" s="43"/>
      <c r="C73" s="43"/>
      <c r="D73" s="47"/>
      <c r="E73" s="37"/>
      <c r="F73" s="37"/>
      <c r="G73" s="37"/>
      <c r="H73" s="37"/>
      <c r="I73" s="38"/>
    </row>
    <row r="74" spans="1:9" s="22" customFormat="1" ht="14.25" hidden="1">
      <c r="A74" s="46" t="s">
        <v>226</v>
      </c>
      <c r="B74" s="43">
        <f>B75</f>
        <v>0</v>
      </c>
      <c r="C74" s="43">
        <f>C75</f>
        <v>0</v>
      </c>
      <c r="D74" s="47" t="e">
        <f>SUM(C74/B74)</f>
        <v>#DIV/0!</v>
      </c>
      <c r="E74" s="37"/>
      <c r="F74" s="37"/>
      <c r="G74" s="37"/>
      <c r="H74" s="37"/>
      <c r="I74" s="38"/>
    </row>
    <row r="75" spans="1:9" s="22" customFormat="1" ht="14.25" hidden="1">
      <c r="A75" s="45" t="s">
        <v>182</v>
      </c>
      <c r="B75" s="43">
        <v>0</v>
      </c>
      <c r="C75" s="43">
        <v>0</v>
      </c>
      <c r="D75" s="47" t="e">
        <f>SUM(C75/B75)</f>
        <v>#DIV/0!</v>
      </c>
      <c r="E75" s="37"/>
      <c r="F75" s="37"/>
      <c r="G75" s="37"/>
      <c r="H75" s="37"/>
      <c r="I75" s="38"/>
    </row>
    <row r="76" spans="1:4" ht="15.75" thickBot="1">
      <c r="A76" s="680" t="s">
        <v>184</v>
      </c>
      <c r="B76" s="681">
        <v>1200430</v>
      </c>
      <c r="C76" s="681">
        <v>1285584.96</v>
      </c>
      <c r="D76" s="682">
        <f>SUM(C76/B76)</f>
        <v>1.0709370475579583</v>
      </c>
    </row>
    <row r="83" ht="12">
      <c r="A83"/>
    </row>
  </sheetData>
  <sheetProtection/>
  <mergeCells count="2">
    <mergeCell ref="A2:D2"/>
    <mergeCell ref="D4:D5"/>
  </mergeCells>
  <printOptions horizontalCentered="1"/>
  <pageMargins left="0.55" right="0.3937007874015748" top="0.5905511811023623" bottom="0.3937007874015748" header="0.5118110236220472" footer="0.5118110236220472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374"/>
  <sheetViews>
    <sheetView showGridLines="0" view="pageBreakPreview" zoomScaleSheetLayoutView="100" zoomScalePageLayoutView="0" workbookViewId="0" topLeftCell="A1">
      <selection activeCell="C3" sqref="C3"/>
    </sheetView>
  </sheetViews>
  <sheetFormatPr defaultColWidth="9.00390625" defaultRowHeight="12"/>
  <cols>
    <col min="1" max="1" width="7.25390625" style="12" customWidth="1"/>
    <col min="2" max="2" width="9.625" style="12" bestFit="1" customWidth="1"/>
    <col min="3" max="3" width="51.875" style="12" customWidth="1"/>
    <col min="4" max="4" width="16.75390625" style="958" customWidth="1"/>
    <col min="5" max="5" width="16.625" style="958" customWidth="1"/>
    <col min="6" max="6" width="16.75390625" style="958" customWidth="1"/>
    <col min="7" max="7" width="14.625" style="958" bestFit="1" customWidth="1"/>
    <col min="8" max="8" width="16.75390625" style="958" customWidth="1"/>
    <col min="9" max="9" width="14.875" style="958" customWidth="1"/>
    <col min="10" max="10" width="16.00390625" style="958" customWidth="1"/>
    <col min="11" max="11" width="14.75390625" style="958" customWidth="1"/>
    <col min="12" max="12" width="13.25390625" style="958" customWidth="1"/>
    <col min="13" max="13" width="14.125" style="958" customWidth="1"/>
    <col min="14" max="14" width="11.375" style="12" customWidth="1"/>
    <col min="15" max="15" width="13.00390625" style="12" customWidth="1"/>
    <col min="16" max="16" width="11.25390625" style="12" customWidth="1"/>
    <col min="17" max="16384" width="9.125" style="12" customWidth="1"/>
  </cols>
  <sheetData>
    <row r="1" spans="1:12" ht="15.75">
      <c r="A1" s="1433" t="s">
        <v>494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957"/>
    </row>
    <row r="2" spans="1:12" ht="15">
      <c r="A2" s="1434" t="s">
        <v>495</v>
      </c>
      <c r="B2" s="1434"/>
      <c r="C2" s="1434"/>
      <c r="D2" s="1434"/>
      <c r="E2" s="1434"/>
      <c r="F2" s="1434"/>
      <c r="G2" s="1434"/>
      <c r="H2" s="1434"/>
      <c r="I2" s="1434"/>
      <c r="J2" s="1434"/>
      <c r="K2" s="1434"/>
      <c r="L2" s="959"/>
    </row>
    <row r="3" spans="1:13" s="963" customFormat="1" ht="18" customHeight="1" thickBot="1">
      <c r="A3" s="12"/>
      <c r="B3" s="12"/>
      <c r="C3" s="12"/>
      <c r="D3" s="958"/>
      <c r="E3" s="960"/>
      <c r="F3" s="958"/>
      <c r="G3" s="958"/>
      <c r="H3" s="958"/>
      <c r="I3" s="958"/>
      <c r="J3" s="958"/>
      <c r="K3" s="961" t="s">
        <v>0</v>
      </c>
      <c r="L3" s="958"/>
      <c r="M3" s="962"/>
    </row>
    <row r="4" spans="2:12" ht="12" customHeight="1">
      <c r="B4" s="1406" t="s">
        <v>1</v>
      </c>
      <c r="C4" s="1412" t="s">
        <v>27</v>
      </c>
      <c r="D4" s="1415" t="s">
        <v>3</v>
      </c>
      <c r="E4" s="1415" t="s">
        <v>199</v>
      </c>
      <c r="F4" s="1435" t="s">
        <v>4</v>
      </c>
      <c r="G4" s="1436"/>
      <c r="H4" s="1436"/>
      <c r="I4" s="1436"/>
      <c r="J4" s="1436"/>
      <c r="K4" s="1437"/>
      <c r="L4" s="1400" t="s">
        <v>496</v>
      </c>
    </row>
    <row r="5" spans="2:12" ht="12">
      <c r="B5" s="1407"/>
      <c r="C5" s="1413"/>
      <c r="D5" s="1416"/>
      <c r="E5" s="1416"/>
      <c r="F5" s="1403" t="s">
        <v>497</v>
      </c>
      <c r="G5" s="1431" t="s">
        <v>185</v>
      </c>
      <c r="H5" s="1431"/>
      <c r="I5" s="1431"/>
      <c r="J5" s="1431"/>
      <c r="K5" s="1403" t="s">
        <v>498</v>
      </c>
      <c r="L5" s="1401"/>
    </row>
    <row r="6" spans="2:12" ht="40.5" customHeight="1">
      <c r="B6" s="1408"/>
      <c r="C6" s="1414"/>
      <c r="D6" s="1404"/>
      <c r="E6" s="1404"/>
      <c r="F6" s="1404"/>
      <c r="G6" s="964" t="s">
        <v>499</v>
      </c>
      <c r="H6" s="964" t="s">
        <v>500</v>
      </c>
      <c r="I6" s="964" t="s">
        <v>501</v>
      </c>
      <c r="J6" s="964" t="s">
        <v>502</v>
      </c>
      <c r="K6" s="1404"/>
      <c r="L6" s="1402"/>
    </row>
    <row r="7" spans="1:12" ht="12.75" thickBot="1">
      <c r="A7" s="963"/>
      <c r="B7" s="965">
        <v>1</v>
      </c>
      <c r="C7" s="966">
        <v>2</v>
      </c>
      <c r="D7" s="967">
        <v>3</v>
      </c>
      <c r="E7" s="967">
        <v>4</v>
      </c>
      <c r="F7" s="967">
        <v>5</v>
      </c>
      <c r="G7" s="967">
        <v>6</v>
      </c>
      <c r="H7" s="967">
        <v>7</v>
      </c>
      <c r="I7" s="967">
        <v>8</v>
      </c>
      <c r="J7" s="967">
        <v>9</v>
      </c>
      <c r="K7" s="968">
        <v>10</v>
      </c>
      <c r="L7" s="969" t="s">
        <v>503</v>
      </c>
    </row>
    <row r="8" spans="2:12" ht="12">
      <c r="B8" s="970"/>
      <c r="C8" s="971"/>
      <c r="D8" s="972"/>
      <c r="E8" s="972"/>
      <c r="F8" s="972"/>
      <c r="G8" s="972"/>
      <c r="H8" s="972"/>
      <c r="I8" s="972"/>
      <c r="J8" s="972"/>
      <c r="K8" s="973"/>
      <c r="L8" s="1432">
        <f>E9/D9</f>
        <v>0.2134897257336298</v>
      </c>
    </row>
    <row r="9" spans="2:12" ht="12">
      <c r="B9" s="975" t="s">
        <v>186</v>
      </c>
      <c r="C9" s="976" t="s">
        <v>187</v>
      </c>
      <c r="D9" s="977">
        <f aca="true" t="shared" si="0" ref="D9:K9">D62+D217</f>
        <v>72627.57</v>
      </c>
      <c r="E9" s="977">
        <f t="shared" si="0"/>
        <v>15505.24</v>
      </c>
      <c r="F9" s="977">
        <f t="shared" si="0"/>
        <v>15505.24</v>
      </c>
      <c r="G9" s="977">
        <f t="shared" si="0"/>
        <v>0</v>
      </c>
      <c r="H9" s="977">
        <f t="shared" si="0"/>
        <v>0</v>
      </c>
      <c r="I9" s="977">
        <f t="shared" si="0"/>
        <v>0</v>
      </c>
      <c r="J9" s="977">
        <f t="shared" si="0"/>
        <v>0</v>
      </c>
      <c r="K9" s="978">
        <f t="shared" si="0"/>
        <v>0</v>
      </c>
      <c r="L9" s="1427"/>
    </row>
    <row r="10" spans="2:12" ht="12">
      <c r="B10" s="980" t="s">
        <v>504</v>
      </c>
      <c r="C10" s="15" t="s">
        <v>505</v>
      </c>
      <c r="D10" s="981"/>
      <c r="E10" s="981"/>
      <c r="F10" s="981"/>
      <c r="G10" s="981"/>
      <c r="H10" s="981"/>
      <c r="I10" s="981"/>
      <c r="J10" s="981"/>
      <c r="K10" s="982"/>
      <c r="L10" s="1426">
        <f>E11/D11</f>
        <v>0.035915121951219514</v>
      </c>
    </row>
    <row r="11" spans="2:12" ht="12">
      <c r="B11" s="975"/>
      <c r="C11" s="976" t="s">
        <v>506</v>
      </c>
      <c r="D11" s="977">
        <f aca="true" t="shared" si="1" ref="D11:K11">SUM(D68)</f>
        <v>615000</v>
      </c>
      <c r="E11" s="977">
        <f t="shared" si="1"/>
        <v>22087.8</v>
      </c>
      <c r="F11" s="977">
        <f t="shared" si="1"/>
        <v>22087.8</v>
      </c>
      <c r="G11" s="977">
        <f t="shared" si="1"/>
        <v>0</v>
      </c>
      <c r="H11" s="977">
        <f t="shared" si="1"/>
        <v>0</v>
      </c>
      <c r="I11" s="977">
        <f t="shared" si="1"/>
        <v>0</v>
      </c>
      <c r="J11" s="977">
        <f t="shared" si="1"/>
        <v>0</v>
      </c>
      <c r="K11" s="978">
        <f t="shared" si="1"/>
        <v>0</v>
      </c>
      <c r="L11" s="1427"/>
    </row>
    <row r="12" spans="2:12" ht="12">
      <c r="B12" s="13"/>
      <c r="C12" s="15"/>
      <c r="D12" s="981"/>
      <c r="E12" s="981"/>
      <c r="F12" s="981"/>
      <c r="G12" s="981"/>
      <c r="H12" s="981"/>
      <c r="I12" s="981"/>
      <c r="J12" s="981"/>
      <c r="K12" s="982"/>
      <c r="L12" s="1426">
        <f>E13/D13</f>
        <v>0.46175029121028377</v>
      </c>
    </row>
    <row r="13" spans="2:12" ht="12">
      <c r="B13" s="984">
        <v>600</v>
      </c>
      <c r="C13" s="976" t="s">
        <v>7</v>
      </c>
      <c r="D13" s="977">
        <f aca="true" t="shared" si="2" ref="D13:K13">D75+D265+D283</f>
        <v>16289775</v>
      </c>
      <c r="E13" s="977">
        <f t="shared" si="2"/>
        <v>7521808.350000001</v>
      </c>
      <c r="F13" s="977">
        <f t="shared" si="2"/>
        <v>4826267.2</v>
      </c>
      <c r="G13" s="977">
        <f t="shared" si="2"/>
        <v>0</v>
      </c>
      <c r="H13" s="977">
        <f t="shared" si="2"/>
        <v>0</v>
      </c>
      <c r="I13" s="977">
        <f t="shared" si="2"/>
        <v>0</v>
      </c>
      <c r="J13" s="977">
        <f t="shared" si="2"/>
        <v>0</v>
      </c>
      <c r="K13" s="978">
        <f t="shared" si="2"/>
        <v>2695541.15</v>
      </c>
      <c r="L13" s="1427"/>
    </row>
    <row r="14" spans="2:12" ht="12">
      <c r="B14" s="13"/>
      <c r="C14" s="15"/>
      <c r="D14" s="981"/>
      <c r="E14" s="981"/>
      <c r="F14" s="981"/>
      <c r="G14" s="981"/>
      <c r="H14" s="981"/>
      <c r="I14" s="981"/>
      <c r="J14" s="981"/>
      <c r="K14" s="982"/>
      <c r="L14" s="1426">
        <f>E15/D15</f>
        <v>0.6578718040621266</v>
      </c>
    </row>
    <row r="15" spans="2:12" ht="12">
      <c r="B15" s="984">
        <v>630</v>
      </c>
      <c r="C15" s="976" t="s">
        <v>507</v>
      </c>
      <c r="D15" s="977">
        <f>SUM(D81)</f>
        <v>167400</v>
      </c>
      <c r="E15" s="977">
        <f>E81</f>
        <v>110127.74</v>
      </c>
      <c r="F15" s="977">
        <f aca="true" t="shared" si="3" ref="F15:K15">SUM(F81)</f>
        <v>13643.44</v>
      </c>
      <c r="G15" s="977">
        <f t="shared" si="3"/>
        <v>10000</v>
      </c>
      <c r="H15" s="977">
        <f t="shared" si="3"/>
        <v>0</v>
      </c>
      <c r="I15" s="977">
        <f t="shared" si="3"/>
        <v>0</v>
      </c>
      <c r="J15" s="977">
        <f t="shared" si="3"/>
        <v>0</v>
      </c>
      <c r="K15" s="978">
        <f t="shared" si="3"/>
        <v>96484.3</v>
      </c>
      <c r="L15" s="1427"/>
    </row>
    <row r="16" spans="2:12" ht="12">
      <c r="B16" s="13"/>
      <c r="C16" s="15"/>
      <c r="D16" s="981"/>
      <c r="E16" s="981"/>
      <c r="F16" s="981"/>
      <c r="G16" s="981"/>
      <c r="H16" s="981"/>
      <c r="I16" s="981"/>
      <c r="J16" s="981"/>
      <c r="K16" s="982"/>
      <c r="L16" s="1426">
        <f>E17/D17</f>
        <v>0.6321781250789167</v>
      </c>
    </row>
    <row r="17" spans="2:12" ht="12">
      <c r="B17" s="984">
        <v>700</v>
      </c>
      <c r="C17" s="976" t="s">
        <v>8</v>
      </c>
      <c r="D17" s="977">
        <f aca="true" t="shared" si="4" ref="D17:K17">SUM(D85)+D288</f>
        <v>16750241</v>
      </c>
      <c r="E17" s="977">
        <f t="shared" si="4"/>
        <v>10589135.95</v>
      </c>
      <c r="F17" s="977">
        <f t="shared" si="4"/>
        <v>3304845.08</v>
      </c>
      <c r="G17" s="977">
        <f t="shared" si="4"/>
        <v>2500000</v>
      </c>
      <c r="H17" s="977">
        <f t="shared" si="4"/>
        <v>15822</v>
      </c>
      <c r="I17" s="977">
        <f t="shared" si="4"/>
        <v>0</v>
      </c>
      <c r="J17" s="977">
        <f t="shared" si="4"/>
        <v>0</v>
      </c>
      <c r="K17" s="978">
        <f t="shared" si="4"/>
        <v>7284290.87</v>
      </c>
      <c r="L17" s="1427"/>
    </row>
    <row r="18" spans="2:12" ht="12">
      <c r="B18" s="13"/>
      <c r="C18" s="15"/>
      <c r="D18" s="981"/>
      <c r="E18" s="981"/>
      <c r="F18" s="981"/>
      <c r="G18" s="981"/>
      <c r="H18" s="981"/>
      <c r="I18" s="981"/>
      <c r="J18" s="981"/>
      <c r="K18" s="982"/>
      <c r="L18" s="1426">
        <f>E19/D19</f>
        <v>0.8008758587596013</v>
      </c>
    </row>
    <row r="19" spans="2:12" ht="12">
      <c r="B19" s="984">
        <v>710</v>
      </c>
      <c r="C19" s="976" t="s">
        <v>188</v>
      </c>
      <c r="D19" s="977">
        <f aca="true" t="shared" si="5" ref="D19:K19">SUM(D91)</f>
        <v>2367368</v>
      </c>
      <c r="E19" s="977">
        <f t="shared" si="5"/>
        <v>1895967.88</v>
      </c>
      <c r="F19" s="977">
        <f t="shared" si="5"/>
        <v>310967.88</v>
      </c>
      <c r="G19" s="977">
        <f t="shared" si="5"/>
        <v>0</v>
      </c>
      <c r="H19" s="977">
        <f t="shared" si="5"/>
        <v>2400</v>
      </c>
      <c r="I19" s="977">
        <f t="shared" si="5"/>
        <v>0</v>
      </c>
      <c r="J19" s="977">
        <f t="shared" si="5"/>
        <v>0</v>
      </c>
      <c r="K19" s="978">
        <f t="shared" si="5"/>
        <v>1585000</v>
      </c>
      <c r="L19" s="1427"/>
    </row>
    <row r="20" spans="2:12" ht="12">
      <c r="B20" s="13"/>
      <c r="C20" s="15"/>
      <c r="D20" s="981"/>
      <c r="E20" s="981"/>
      <c r="F20" s="981"/>
      <c r="G20" s="981"/>
      <c r="H20" s="981"/>
      <c r="I20" s="981"/>
      <c r="J20" s="981"/>
      <c r="K20" s="982"/>
      <c r="L20" s="1426">
        <f>E21/D21</f>
        <v>0.6343194117607632</v>
      </c>
    </row>
    <row r="21" spans="2:12" ht="12">
      <c r="B21" s="984">
        <v>750</v>
      </c>
      <c r="C21" s="976" t="s">
        <v>9</v>
      </c>
      <c r="D21" s="977">
        <f aca="true" t="shared" si="6" ref="D21:K21">D97+D221</f>
        <v>13129216</v>
      </c>
      <c r="E21" s="977">
        <f t="shared" si="6"/>
        <v>8328116.57</v>
      </c>
      <c r="F21" s="977">
        <f t="shared" si="6"/>
        <v>8310776.33</v>
      </c>
      <c r="G21" s="977">
        <f t="shared" si="6"/>
        <v>0</v>
      </c>
      <c r="H21" s="977">
        <f t="shared" si="6"/>
        <v>6088011.61</v>
      </c>
      <c r="I21" s="977">
        <f t="shared" si="6"/>
        <v>0</v>
      </c>
      <c r="J21" s="977">
        <f t="shared" si="6"/>
        <v>0</v>
      </c>
      <c r="K21" s="978">
        <f t="shared" si="6"/>
        <v>17340.239999999998</v>
      </c>
      <c r="L21" s="1427"/>
    </row>
    <row r="22" spans="2:12" ht="12">
      <c r="B22" s="13">
        <v>751</v>
      </c>
      <c r="C22" s="15" t="s">
        <v>508</v>
      </c>
      <c r="D22" s="981"/>
      <c r="E22" s="981"/>
      <c r="F22" s="981"/>
      <c r="G22" s="981"/>
      <c r="H22" s="981"/>
      <c r="I22" s="981"/>
      <c r="J22" s="981"/>
      <c r="K22" s="982"/>
      <c r="L22" s="1429">
        <f>E24/D24</f>
        <v>0.9335380720180045</v>
      </c>
    </row>
    <row r="23" spans="2:12" ht="12">
      <c r="B23" s="13"/>
      <c r="C23" s="15" t="s">
        <v>509</v>
      </c>
      <c r="D23" s="981"/>
      <c r="E23" s="981"/>
      <c r="F23" s="981"/>
      <c r="G23" s="981"/>
      <c r="H23" s="981"/>
      <c r="I23" s="981"/>
      <c r="J23" s="981"/>
      <c r="K23" s="982"/>
      <c r="L23" s="1426"/>
    </row>
    <row r="24" spans="2:12" ht="15" customHeight="1">
      <c r="B24" s="984"/>
      <c r="C24" s="976" t="s">
        <v>510</v>
      </c>
      <c r="D24" s="977">
        <f aca="true" t="shared" si="7" ref="D24:K24">SUM(D227)</f>
        <v>53320</v>
      </c>
      <c r="E24" s="977">
        <f t="shared" si="7"/>
        <v>49776.25</v>
      </c>
      <c r="F24" s="977">
        <f t="shared" si="7"/>
        <v>49776.25</v>
      </c>
      <c r="G24" s="977">
        <f t="shared" si="7"/>
        <v>0</v>
      </c>
      <c r="H24" s="977">
        <f t="shared" si="7"/>
        <v>12996.51</v>
      </c>
      <c r="I24" s="977">
        <f t="shared" si="7"/>
        <v>0</v>
      </c>
      <c r="J24" s="977">
        <f t="shared" si="7"/>
        <v>0</v>
      </c>
      <c r="K24" s="978">
        <f t="shared" si="7"/>
        <v>0</v>
      </c>
      <c r="L24" s="1427"/>
    </row>
    <row r="25" spans="2:12" ht="12">
      <c r="B25" s="13">
        <v>754</v>
      </c>
      <c r="C25" s="15" t="s">
        <v>50</v>
      </c>
      <c r="D25" s="981"/>
      <c r="E25" s="981"/>
      <c r="F25" s="981"/>
      <c r="G25" s="981"/>
      <c r="H25" s="981"/>
      <c r="I25" s="981"/>
      <c r="J25" s="981"/>
      <c r="K25" s="982"/>
      <c r="L25" s="1429">
        <f>E26/D26</f>
        <v>0.6439057789671633</v>
      </c>
    </row>
    <row r="26" spans="2:12" ht="12">
      <c r="B26" s="984"/>
      <c r="C26" s="976" t="s">
        <v>51</v>
      </c>
      <c r="D26" s="977">
        <f aca="true" t="shared" si="8" ref="D26:K26">SUM(D106)</f>
        <v>1382600</v>
      </c>
      <c r="E26" s="977">
        <f t="shared" si="8"/>
        <v>890264.13</v>
      </c>
      <c r="F26" s="977">
        <f t="shared" si="8"/>
        <v>890264.13</v>
      </c>
      <c r="G26" s="977">
        <f t="shared" si="8"/>
        <v>9500</v>
      </c>
      <c r="H26" s="977">
        <f t="shared" si="8"/>
        <v>548298.88</v>
      </c>
      <c r="I26" s="977">
        <f t="shared" si="8"/>
        <v>0</v>
      </c>
      <c r="J26" s="977">
        <f t="shared" si="8"/>
        <v>0</v>
      </c>
      <c r="K26" s="978">
        <f t="shared" si="8"/>
        <v>0</v>
      </c>
      <c r="L26" s="1427"/>
    </row>
    <row r="27" spans="2:12" ht="12">
      <c r="B27" s="13">
        <v>756</v>
      </c>
      <c r="C27" s="15" t="s">
        <v>511</v>
      </c>
      <c r="D27" s="981"/>
      <c r="E27" s="981"/>
      <c r="F27" s="981"/>
      <c r="G27" s="981"/>
      <c r="H27" s="981"/>
      <c r="I27" s="981"/>
      <c r="J27" s="981"/>
      <c r="K27" s="982"/>
      <c r="L27" s="1429">
        <f>E30/D30</f>
        <v>0.5952795783926219</v>
      </c>
    </row>
    <row r="28" spans="2:12" ht="12">
      <c r="B28" s="13"/>
      <c r="C28" s="15" t="s">
        <v>512</v>
      </c>
      <c r="D28" s="981"/>
      <c r="E28" s="981"/>
      <c r="F28" s="981"/>
      <c r="G28" s="981"/>
      <c r="H28" s="981"/>
      <c r="I28" s="981"/>
      <c r="J28" s="981"/>
      <c r="K28" s="982"/>
      <c r="L28" s="1426"/>
    </row>
    <row r="29" spans="2:12" ht="12">
      <c r="B29" s="13"/>
      <c r="C29" s="15" t="s">
        <v>513</v>
      </c>
      <c r="D29" s="981"/>
      <c r="E29" s="981"/>
      <c r="F29" s="981"/>
      <c r="G29" s="981"/>
      <c r="H29" s="981"/>
      <c r="I29" s="981"/>
      <c r="J29" s="981"/>
      <c r="K29" s="982"/>
      <c r="L29" s="1426"/>
    </row>
    <row r="30" spans="2:12" ht="12">
      <c r="B30" s="984"/>
      <c r="C30" s="976" t="s">
        <v>16</v>
      </c>
      <c r="D30" s="977">
        <f aca="true" t="shared" si="9" ref="D30:K30">SUM(D117)</f>
        <v>151800</v>
      </c>
      <c r="E30" s="977">
        <f t="shared" si="9"/>
        <v>90363.44</v>
      </c>
      <c r="F30" s="977">
        <f t="shared" si="9"/>
        <v>90363.44</v>
      </c>
      <c r="G30" s="977">
        <f t="shared" si="9"/>
        <v>0</v>
      </c>
      <c r="H30" s="977">
        <f t="shared" si="9"/>
        <v>18602.65</v>
      </c>
      <c r="I30" s="977">
        <f t="shared" si="9"/>
        <v>0</v>
      </c>
      <c r="J30" s="977">
        <f t="shared" si="9"/>
        <v>0</v>
      </c>
      <c r="K30" s="978">
        <f t="shared" si="9"/>
        <v>0</v>
      </c>
      <c r="L30" s="1427"/>
    </row>
    <row r="31" spans="1:13" s="963" customFormat="1" ht="12">
      <c r="A31" s="12"/>
      <c r="B31" s="13"/>
      <c r="C31" s="15"/>
      <c r="D31" s="981"/>
      <c r="E31" s="981"/>
      <c r="F31" s="981"/>
      <c r="G31" s="981"/>
      <c r="H31" s="981"/>
      <c r="I31" s="981"/>
      <c r="J31" s="981"/>
      <c r="K31" s="982"/>
      <c r="L31" s="1429">
        <f>E32/D32</f>
        <v>0.07566585061541055</v>
      </c>
      <c r="M31" s="958"/>
    </row>
    <row r="32" spans="2:12" ht="12">
      <c r="B32" s="984">
        <v>757</v>
      </c>
      <c r="C32" s="976" t="s">
        <v>514</v>
      </c>
      <c r="D32" s="977">
        <f aca="true" t="shared" si="10" ref="D32:K32">SUM(D122)</f>
        <v>1482750</v>
      </c>
      <c r="E32" s="977">
        <f t="shared" si="10"/>
        <v>112193.54</v>
      </c>
      <c r="F32" s="977">
        <f t="shared" si="10"/>
        <v>112193.54</v>
      </c>
      <c r="G32" s="977">
        <f t="shared" si="10"/>
        <v>0</v>
      </c>
      <c r="H32" s="977">
        <f t="shared" si="10"/>
        <v>0</v>
      </c>
      <c r="I32" s="977">
        <f t="shared" si="10"/>
        <v>112193.54</v>
      </c>
      <c r="J32" s="977">
        <f t="shared" si="10"/>
        <v>0</v>
      </c>
      <c r="K32" s="978">
        <f t="shared" si="10"/>
        <v>0</v>
      </c>
      <c r="L32" s="1427"/>
    </row>
    <row r="33" spans="2:12" ht="12">
      <c r="B33" s="986"/>
      <c r="C33" s="987"/>
      <c r="D33" s="988"/>
      <c r="E33" s="988"/>
      <c r="F33" s="988"/>
      <c r="G33" s="988"/>
      <c r="H33" s="988"/>
      <c r="I33" s="988"/>
      <c r="J33" s="988"/>
      <c r="K33" s="989"/>
      <c r="L33" s="1429">
        <f>E34/D34</f>
        <v>0</v>
      </c>
    </row>
    <row r="34" spans="2:12" ht="12">
      <c r="B34" s="984">
        <v>758</v>
      </c>
      <c r="C34" s="976" t="s">
        <v>17</v>
      </c>
      <c r="D34" s="977">
        <f aca="true" t="shared" si="11" ref="D34:K34">(D127)</f>
        <v>346329</v>
      </c>
      <c r="E34" s="977">
        <f t="shared" si="11"/>
        <v>0</v>
      </c>
      <c r="F34" s="977">
        <f t="shared" si="11"/>
        <v>0</v>
      </c>
      <c r="G34" s="977">
        <f t="shared" si="11"/>
        <v>0</v>
      </c>
      <c r="H34" s="977">
        <f t="shared" si="11"/>
        <v>0</v>
      </c>
      <c r="I34" s="977">
        <f t="shared" si="11"/>
        <v>0</v>
      </c>
      <c r="J34" s="977">
        <f t="shared" si="11"/>
        <v>0</v>
      </c>
      <c r="K34" s="978">
        <f t="shared" si="11"/>
        <v>0</v>
      </c>
      <c r="L34" s="1427"/>
    </row>
    <row r="35" spans="2:12" ht="12">
      <c r="B35" s="13"/>
      <c r="C35" s="15"/>
      <c r="D35" s="981"/>
      <c r="E35" s="981"/>
      <c r="F35" s="981"/>
      <c r="G35" s="981"/>
      <c r="H35" s="981"/>
      <c r="I35" s="981"/>
      <c r="J35" s="981"/>
      <c r="K35" s="982"/>
      <c r="L35" s="1429">
        <f>E36/D36</f>
        <v>0.7584625137891663</v>
      </c>
    </row>
    <row r="36" spans="2:12" ht="12">
      <c r="B36" s="984">
        <v>801</v>
      </c>
      <c r="C36" s="976" t="s">
        <v>18</v>
      </c>
      <c r="D36" s="977">
        <f aca="true" t="shared" si="12" ref="D36:K36">SUM(D132)+D290+D232</f>
        <v>37349974</v>
      </c>
      <c r="E36" s="977">
        <f t="shared" si="12"/>
        <v>28328555.17</v>
      </c>
      <c r="F36" s="977">
        <f t="shared" si="12"/>
        <v>27547668.330000002</v>
      </c>
      <c r="G36" s="977">
        <f t="shared" si="12"/>
        <v>27055523.42</v>
      </c>
      <c r="H36" s="977">
        <f t="shared" si="12"/>
        <v>45723.020000000004</v>
      </c>
      <c r="I36" s="977">
        <f t="shared" si="12"/>
        <v>0</v>
      </c>
      <c r="J36" s="977">
        <f t="shared" si="12"/>
        <v>0</v>
      </c>
      <c r="K36" s="978">
        <f t="shared" si="12"/>
        <v>780886.84</v>
      </c>
      <c r="L36" s="1427"/>
    </row>
    <row r="37" spans="2:12" ht="12">
      <c r="B37" s="13"/>
      <c r="C37" s="15"/>
      <c r="D37" s="981"/>
      <c r="E37" s="981"/>
      <c r="F37" s="981"/>
      <c r="G37" s="981"/>
      <c r="H37" s="981"/>
      <c r="I37" s="981"/>
      <c r="J37" s="981"/>
      <c r="K37" s="982"/>
      <c r="L37" s="1429">
        <f>E38/D38</f>
        <v>0.6138543624056847</v>
      </c>
    </row>
    <row r="38" spans="2:12" ht="12">
      <c r="B38" s="984">
        <v>851</v>
      </c>
      <c r="C38" s="976" t="s">
        <v>19</v>
      </c>
      <c r="D38" s="977">
        <f aca="true" t="shared" si="13" ref="D38:K38">SUM(D144+D236)</f>
        <v>901498</v>
      </c>
      <c r="E38" s="977">
        <f t="shared" si="13"/>
        <v>553388.48</v>
      </c>
      <c r="F38" s="977">
        <f t="shared" si="13"/>
        <v>553388.48</v>
      </c>
      <c r="G38" s="977">
        <f t="shared" si="13"/>
        <v>95000</v>
      </c>
      <c r="H38" s="977">
        <f t="shared" si="13"/>
        <v>215194.36</v>
      </c>
      <c r="I38" s="977">
        <f t="shared" si="13"/>
        <v>0</v>
      </c>
      <c r="J38" s="977">
        <f t="shared" si="13"/>
        <v>0</v>
      </c>
      <c r="K38" s="978">
        <f t="shared" si="13"/>
        <v>0</v>
      </c>
      <c r="L38" s="1427"/>
    </row>
    <row r="39" spans="2:12" ht="12">
      <c r="B39" s="13"/>
      <c r="C39" s="15"/>
      <c r="D39" s="981"/>
      <c r="E39" s="981"/>
      <c r="F39" s="981"/>
      <c r="G39" s="981"/>
      <c r="H39" s="981"/>
      <c r="I39" s="981"/>
      <c r="J39" s="981"/>
      <c r="K39" s="982"/>
      <c r="L39" s="1429">
        <f>E40/D40</f>
        <v>0.6990850884446828</v>
      </c>
    </row>
    <row r="40" spans="2:12" ht="12">
      <c r="B40" s="984">
        <v>852</v>
      </c>
      <c r="C40" s="976" t="s">
        <v>515</v>
      </c>
      <c r="D40" s="977">
        <f aca="true" t="shared" si="14" ref="D40:K40">SUM(D150+D240)+D340</f>
        <v>16706205</v>
      </c>
      <c r="E40" s="977">
        <f t="shared" si="14"/>
        <v>11679058.8</v>
      </c>
      <c r="F40" s="977">
        <f t="shared" si="14"/>
        <v>11679058.8</v>
      </c>
      <c r="G40" s="977">
        <f t="shared" si="14"/>
        <v>228747</v>
      </c>
      <c r="H40" s="977">
        <f t="shared" si="14"/>
        <v>2205118.32</v>
      </c>
      <c r="I40" s="977">
        <f t="shared" si="14"/>
        <v>0</v>
      </c>
      <c r="J40" s="977">
        <f t="shared" si="14"/>
        <v>0</v>
      </c>
      <c r="K40" s="978">
        <f t="shared" si="14"/>
        <v>0</v>
      </c>
      <c r="L40" s="1427"/>
    </row>
    <row r="41" spans="2:12" ht="12">
      <c r="B41" s="13">
        <v>853</v>
      </c>
      <c r="C41" s="15" t="s">
        <v>516</v>
      </c>
      <c r="D41" s="981"/>
      <c r="E41" s="981"/>
      <c r="F41" s="981"/>
      <c r="G41" s="981"/>
      <c r="H41" s="981"/>
      <c r="I41" s="981"/>
      <c r="J41" s="981"/>
      <c r="K41" s="982"/>
      <c r="L41" s="1429">
        <f>E42/D42</f>
        <v>0.7606441869779387</v>
      </c>
    </row>
    <row r="42" spans="2:12" ht="12">
      <c r="B42" s="984"/>
      <c r="C42" s="976" t="s">
        <v>517</v>
      </c>
      <c r="D42" s="977">
        <f aca="true" t="shared" si="15" ref="D42:K42">D166+D269+D308</f>
        <v>2421890</v>
      </c>
      <c r="E42" s="977">
        <f t="shared" si="15"/>
        <v>1842196.5499999998</v>
      </c>
      <c r="F42" s="977">
        <f t="shared" si="15"/>
        <v>1842196.5499999998</v>
      </c>
      <c r="G42" s="977">
        <f t="shared" si="15"/>
        <v>1164066.5</v>
      </c>
      <c r="H42" s="977">
        <f t="shared" si="15"/>
        <v>247781.91</v>
      </c>
      <c r="I42" s="977">
        <f t="shared" si="15"/>
        <v>0</v>
      </c>
      <c r="J42" s="977">
        <f t="shared" si="15"/>
        <v>0</v>
      </c>
      <c r="K42" s="978">
        <f t="shared" si="15"/>
        <v>0</v>
      </c>
      <c r="L42" s="1427"/>
    </row>
    <row r="43" spans="2:12" ht="12">
      <c r="B43" s="990"/>
      <c r="C43" s="971"/>
      <c r="D43" s="972"/>
      <c r="E43" s="972"/>
      <c r="F43" s="972"/>
      <c r="G43" s="972"/>
      <c r="H43" s="972"/>
      <c r="I43" s="972"/>
      <c r="J43" s="972"/>
      <c r="K43" s="973"/>
      <c r="L43" s="1429">
        <f>E44/D44</f>
        <v>0.8803818068371818</v>
      </c>
    </row>
    <row r="44" spans="2:12" ht="12">
      <c r="B44" s="984">
        <v>854</v>
      </c>
      <c r="C44" s="976" t="s">
        <v>518</v>
      </c>
      <c r="D44" s="977">
        <f aca="true" t="shared" si="16" ref="D44:K44">SUM(D171)</f>
        <v>410286</v>
      </c>
      <c r="E44" s="977">
        <f t="shared" si="16"/>
        <v>361208.32999999996</v>
      </c>
      <c r="F44" s="977">
        <f t="shared" si="16"/>
        <v>361208.32999999996</v>
      </c>
      <c r="G44" s="977">
        <f t="shared" si="16"/>
        <v>320000</v>
      </c>
      <c r="H44" s="977">
        <f t="shared" si="16"/>
        <v>4300</v>
      </c>
      <c r="I44" s="977">
        <f t="shared" si="16"/>
        <v>0</v>
      </c>
      <c r="J44" s="977">
        <f t="shared" si="16"/>
        <v>0</v>
      </c>
      <c r="K44" s="978">
        <f t="shared" si="16"/>
        <v>0</v>
      </c>
      <c r="L44" s="1427"/>
    </row>
    <row r="45" spans="2:12" ht="12">
      <c r="B45" s="13">
        <v>900</v>
      </c>
      <c r="C45" s="15" t="s">
        <v>519</v>
      </c>
      <c r="D45" s="981"/>
      <c r="E45" s="981"/>
      <c r="F45" s="981"/>
      <c r="G45" s="981"/>
      <c r="H45" s="981"/>
      <c r="I45" s="981"/>
      <c r="J45" s="981"/>
      <c r="K45" s="982"/>
      <c r="L45" s="1429">
        <f>E46/D46</f>
        <v>0.3632092269935492</v>
      </c>
    </row>
    <row r="46" spans="2:12" ht="12">
      <c r="B46" s="984"/>
      <c r="C46" s="976" t="s">
        <v>520</v>
      </c>
      <c r="D46" s="977">
        <f aca="true" t="shared" si="17" ref="D46:K46">SUM(D180)</f>
        <v>12431785</v>
      </c>
      <c r="E46" s="977">
        <f t="shared" si="17"/>
        <v>4515339.02</v>
      </c>
      <c r="F46" s="977">
        <f t="shared" si="17"/>
        <v>3372305.96</v>
      </c>
      <c r="G46" s="977">
        <f t="shared" si="17"/>
        <v>118427.22</v>
      </c>
      <c r="H46" s="977">
        <f t="shared" si="17"/>
        <v>164561.93</v>
      </c>
      <c r="I46" s="977">
        <f t="shared" si="17"/>
        <v>0</v>
      </c>
      <c r="J46" s="977">
        <f t="shared" si="17"/>
        <v>0</v>
      </c>
      <c r="K46" s="978">
        <f t="shared" si="17"/>
        <v>1143033.06</v>
      </c>
      <c r="L46" s="1427"/>
    </row>
    <row r="47" spans="2:12" ht="12">
      <c r="B47" s="13">
        <v>921</v>
      </c>
      <c r="C47" s="15" t="s">
        <v>521</v>
      </c>
      <c r="D47" s="981"/>
      <c r="E47" s="981"/>
      <c r="F47" s="981"/>
      <c r="G47" s="981"/>
      <c r="H47" s="981"/>
      <c r="I47" s="981"/>
      <c r="J47" s="981"/>
      <c r="K47" s="982"/>
      <c r="L47" s="1429">
        <f>E48/D48</f>
        <v>0.5339104847125626</v>
      </c>
    </row>
    <row r="48" spans="1:13" s="991" customFormat="1" ht="12.75">
      <c r="A48" s="12"/>
      <c r="B48" s="984"/>
      <c r="C48" s="976" t="s">
        <v>522</v>
      </c>
      <c r="D48" s="977">
        <f aca="true" t="shared" si="18" ref="D48:K48">SUM(D192)</f>
        <v>6351228</v>
      </c>
      <c r="E48" s="977">
        <f t="shared" si="18"/>
        <v>3390987.2199999997</v>
      </c>
      <c r="F48" s="977">
        <f t="shared" si="18"/>
        <v>3008748.05</v>
      </c>
      <c r="G48" s="977">
        <f t="shared" si="18"/>
        <v>2508000</v>
      </c>
      <c r="H48" s="977">
        <f t="shared" si="18"/>
        <v>87852.14000000001</v>
      </c>
      <c r="I48" s="977">
        <f t="shared" si="18"/>
        <v>0</v>
      </c>
      <c r="J48" s="977">
        <f t="shared" si="18"/>
        <v>0</v>
      </c>
      <c r="K48" s="978">
        <f t="shared" si="18"/>
        <v>382239.17000000004</v>
      </c>
      <c r="L48" s="1427"/>
      <c r="M48" s="958"/>
    </row>
    <row r="49" spans="2:12" ht="12">
      <c r="B49" s="986"/>
      <c r="C49" s="987"/>
      <c r="D49" s="988"/>
      <c r="E49" s="988"/>
      <c r="F49" s="988"/>
      <c r="G49" s="988"/>
      <c r="H49" s="988"/>
      <c r="I49" s="988"/>
      <c r="J49" s="988"/>
      <c r="K49" s="989"/>
      <c r="L49" s="989"/>
    </row>
    <row r="50" spans="2:12" ht="12.75" thickBot="1">
      <c r="B50" s="1028">
        <v>926</v>
      </c>
      <c r="C50" s="1319" t="s">
        <v>523</v>
      </c>
      <c r="D50" s="1032">
        <f aca="true" t="shared" si="19" ref="D50:K50">SUM(D199)+D324+D292</f>
        <v>3808783</v>
      </c>
      <c r="E50" s="1032">
        <f t="shared" si="19"/>
        <v>2723201.26</v>
      </c>
      <c r="F50" s="1032">
        <f t="shared" si="19"/>
        <v>2719857.01</v>
      </c>
      <c r="G50" s="1032">
        <f t="shared" si="19"/>
        <v>834000</v>
      </c>
      <c r="H50" s="1032">
        <f t="shared" si="19"/>
        <v>865820.76</v>
      </c>
      <c r="I50" s="1032">
        <f t="shared" si="19"/>
        <v>0</v>
      </c>
      <c r="J50" s="1032">
        <f t="shared" si="19"/>
        <v>0</v>
      </c>
      <c r="K50" s="1031">
        <f t="shared" si="19"/>
        <v>3344.25</v>
      </c>
      <c r="L50" s="1320">
        <f>E50/D50</f>
        <v>0.7149793674252378</v>
      </c>
    </row>
    <row r="51" spans="2:12" ht="3" customHeight="1">
      <c r="B51" s="990"/>
      <c r="C51" s="971"/>
      <c r="D51" s="972"/>
      <c r="E51" s="972"/>
      <c r="F51" s="972"/>
      <c r="G51" s="972"/>
      <c r="H51" s="972"/>
      <c r="I51" s="972"/>
      <c r="J51" s="972"/>
      <c r="K51" s="973"/>
      <c r="L51" s="973"/>
    </row>
    <row r="52" spans="1:16" s="999" customFormat="1" ht="18.75" thickBot="1">
      <c r="A52" s="991"/>
      <c r="B52" s="995"/>
      <c r="C52" s="996" t="s">
        <v>24</v>
      </c>
      <c r="D52" s="997">
        <f aca="true" t="shared" si="20" ref="D52:K52">SUM(D9:D34,D36:D50)</f>
        <v>133190075.57</v>
      </c>
      <c r="E52" s="997">
        <f t="shared" si="20"/>
        <v>83019281.72</v>
      </c>
      <c r="F52" s="997">
        <f t="shared" si="20"/>
        <v>69031121.83999999</v>
      </c>
      <c r="G52" s="997">
        <f t="shared" si="20"/>
        <v>34843264.14</v>
      </c>
      <c r="H52" s="997">
        <f t="shared" si="20"/>
        <v>10522484.09</v>
      </c>
      <c r="I52" s="997">
        <f t="shared" si="20"/>
        <v>112193.54</v>
      </c>
      <c r="J52" s="997">
        <f t="shared" si="20"/>
        <v>0</v>
      </c>
      <c r="K52" s="997">
        <f t="shared" si="20"/>
        <v>13988159.88</v>
      </c>
      <c r="L52" s="998">
        <f>E52/D52</f>
        <v>0.6233143225177314</v>
      </c>
      <c r="M52" s="962"/>
      <c r="N52" s="962"/>
      <c r="O52" s="962"/>
      <c r="P52" s="962"/>
    </row>
    <row r="53" spans="1:16" s="999" customFormat="1" ht="18">
      <c r="A53" s="1430" t="s">
        <v>524</v>
      </c>
      <c r="B53" s="1430"/>
      <c r="C53" s="1430"/>
      <c r="D53" s="1430"/>
      <c r="E53" s="1430"/>
      <c r="F53" s="1430"/>
      <c r="G53" s="1430"/>
      <c r="H53" s="1430"/>
      <c r="I53" s="1430"/>
      <c r="J53" s="1430"/>
      <c r="K53" s="1430"/>
      <c r="L53" s="1000"/>
      <c r="M53" s="962"/>
      <c r="N53" s="962"/>
      <c r="O53" s="962"/>
      <c r="P53" s="962"/>
    </row>
    <row r="54" spans="1:12" ht="15.75" customHeight="1">
      <c r="A54" s="1428"/>
      <c r="B54" s="1428"/>
      <c r="C54" s="1428"/>
      <c r="D54" s="1428"/>
      <c r="E54" s="1428"/>
      <c r="F54" s="1428"/>
      <c r="G54" s="1428"/>
      <c r="H54" s="1428"/>
      <c r="I54" s="1428"/>
      <c r="J54" s="1428"/>
      <c r="K54" s="1428"/>
      <c r="L54" s="1001"/>
    </row>
    <row r="55" spans="1:12" ht="12.75" customHeight="1">
      <c r="A55" s="1397"/>
      <c r="B55" s="1397"/>
      <c r="C55" s="1397"/>
      <c r="D55" s="1397"/>
      <c r="E55" s="1397"/>
      <c r="F55" s="1397"/>
      <c r="G55" s="1397"/>
      <c r="H55" s="1397"/>
      <c r="I55" s="1397"/>
      <c r="J55" s="1397"/>
      <c r="K55" s="1397"/>
      <c r="L55" s="1003"/>
    </row>
    <row r="56" spans="1:12" ht="12.75" customHeight="1" thickBot="1">
      <c r="A56" s="1002"/>
      <c r="B56" s="1002"/>
      <c r="C56" s="1002"/>
      <c r="D56" s="1004"/>
      <c r="E56" s="1004"/>
      <c r="F56" s="1004"/>
      <c r="G56" s="1004"/>
      <c r="H56" s="1004"/>
      <c r="I56" s="1004"/>
      <c r="J56" s="1004"/>
      <c r="K56" s="1005" t="s">
        <v>0</v>
      </c>
      <c r="L56" s="1006"/>
    </row>
    <row r="57" spans="1:12" ht="12" customHeight="1">
      <c r="A57" s="1406" t="s">
        <v>1</v>
      </c>
      <c r="B57" s="1409" t="s">
        <v>25</v>
      </c>
      <c r="C57" s="1412" t="s">
        <v>27</v>
      </c>
      <c r="D57" s="1415" t="s">
        <v>3</v>
      </c>
      <c r="E57" s="1415" t="s">
        <v>199</v>
      </c>
      <c r="F57" s="1417" t="s">
        <v>4</v>
      </c>
      <c r="G57" s="1418"/>
      <c r="H57" s="1418"/>
      <c r="I57" s="1418"/>
      <c r="J57" s="1418"/>
      <c r="K57" s="1419"/>
      <c r="L57" s="1400" t="s">
        <v>669</v>
      </c>
    </row>
    <row r="58" spans="1:12" ht="12">
      <c r="A58" s="1407"/>
      <c r="B58" s="1410"/>
      <c r="C58" s="1413"/>
      <c r="D58" s="1416"/>
      <c r="E58" s="1416"/>
      <c r="F58" s="1403" t="s">
        <v>497</v>
      </c>
      <c r="G58" s="1405" t="s">
        <v>185</v>
      </c>
      <c r="H58" s="1405"/>
      <c r="I58" s="1405"/>
      <c r="J58" s="1405"/>
      <c r="K58" s="1403" t="s">
        <v>498</v>
      </c>
      <c r="L58" s="1401"/>
    </row>
    <row r="59" spans="1:12" ht="39" customHeight="1">
      <c r="A59" s="1408"/>
      <c r="B59" s="1411"/>
      <c r="C59" s="1414"/>
      <c r="D59" s="1404"/>
      <c r="E59" s="1404"/>
      <c r="F59" s="1404"/>
      <c r="G59" s="964" t="s">
        <v>499</v>
      </c>
      <c r="H59" s="964" t="s">
        <v>525</v>
      </c>
      <c r="I59" s="964" t="s">
        <v>501</v>
      </c>
      <c r="J59" s="964" t="s">
        <v>502</v>
      </c>
      <c r="K59" s="1404"/>
      <c r="L59" s="1402"/>
    </row>
    <row r="60" spans="1:13" s="1012" customFormat="1" ht="12.75" thickBot="1">
      <c r="A60" s="1007">
        <v>1</v>
      </c>
      <c r="B60" s="1008">
        <v>2</v>
      </c>
      <c r="C60" s="1009">
        <v>3</v>
      </c>
      <c r="D60" s="1008">
        <v>4</v>
      </c>
      <c r="E60" s="1008">
        <v>5</v>
      </c>
      <c r="F60" s="1008">
        <v>6</v>
      </c>
      <c r="G60" s="1008">
        <v>7</v>
      </c>
      <c r="H60" s="1008">
        <v>8</v>
      </c>
      <c r="I60" s="1008">
        <v>9</v>
      </c>
      <c r="J60" s="1008">
        <v>10</v>
      </c>
      <c r="K60" s="1010">
        <v>11</v>
      </c>
      <c r="L60" s="1011" t="s">
        <v>675</v>
      </c>
      <c r="M60" s="958"/>
    </row>
    <row r="61" spans="1:12" ht="12.75" thickTop="1">
      <c r="A61" s="24"/>
      <c r="B61" s="15"/>
      <c r="C61" s="15"/>
      <c r="D61" s="981"/>
      <c r="E61" s="981"/>
      <c r="F61" s="981"/>
      <c r="G61" s="981"/>
      <c r="H61" s="981"/>
      <c r="I61" s="981"/>
      <c r="J61" s="981"/>
      <c r="K61" s="981"/>
      <c r="L61" s="1426">
        <f>E62/D62</f>
        <v>0.06815122349102773</v>
      </c>
    </row>
    <row r="62" spans="1:12" ht="12">
      <c r="A62" s="980" t="s">
        <v>186</v>
      </c>
      <c r="B62" s="1013"/>
      <c r="C62" s="976" t="s">
        <v>187</v>
      </c>
      <c r="D62" s="977">
        <f aca="true" t="shared" si="21" ref="D62:K62">SUM(D64:D66)</f>
        <v>61300</v>
      </c>
      <c r="E62" s="977">
        <f t="shared" si="21"/>
        <v>4177.67</v>
      </c>
      <c r="F62" s="977">
        <f t="shared" si="21"/>
        <v>4177.67</v>
      </c>
      <c r="G62" s="977">
        <f t="shared" si="21"/>
        <v>0</v>
      </c>
      <c r="H62" s="977">
        <f t="shared" si="21"/>
        <v>0</v>
      </c>
      <c r="I62" s="977">
        <f t="shared" si="21"/>
        <v>0</v>
      </c>
      <c r="J62" s="977">
        <f t="shared" si="21"/>
        <v>0</v>
      </c>
      <c r="K62" s="977">
        <f t="shared" si="21"/>
        <v>0</v>
      </c>
      <c r="L62" s="1427"/>
    </row>
    <row r="63" spans="1:12" ht="12">
      <c r="A63" s="13"/>
      <c r="B63" s="14"/>
      <c r="C63" s="15"/>
      <c r="D63" s="981"/>
      <c r="E63" s="981"/>
      <c r="F63" s="981"/>
      <c r="G63" s="981"/>
      <c r="H63" s="981"/>
      <c r="I63" s="981"/>
      <c r="J63" s="981"/>
      <c r="K63" s="981"/>
      <c r="L63" s="1014"/>
    </row>
    <row r="64" spans="1:12" ht="12">
      <c r="A64" s="13"/>
      <c r="B64" s="1015" t="s">
        <v>526</v>
      </c>
      <c r="C64" s="49" t="s">
        <v>527</v>
      </c>
      <c r="D64" s="981">
        <v>50000</v>
      </c>
      <c r="E64" s="981">
        <f>SUM(F64+K64)</f>
        <v>0</v>
      </c>
      <c r="F64" s="1016">
        <v>0</v>
      </c>
      <c r="G64" s="1016"/>
      <c r="H64" s="1016"/>
      <c r="I64" s="1016"/>
      <c r="J64" s="1016"/>
      <c r="K64" s="1016"/>
      <c r="L64" s="983">
        <f>E64/D64</f>
        <v>0</v>
      </c>
    </row>
    <row r="65" spans="1:12" ht="12">
      <c r="A65" s="13"/>
      <c r="B65" s="1015" t="s">
        <v>528</v>
      </c>
      <c r="C65" s="49" t="s">
        <v>529</v>
      </c>
      <c r="D65" s="981">
        <v>6000</v>
      </c>
      <c r="E65" s="981">
        <f>SUM(F65+K65)</f>
        <v>3249.67</v>
      </c>
      <c r="F65" s="1016">
        <v>3249.67</v>
      </c>
      <c r="G65" s="1016"/>
      <c r="H65" s="1016"/>
      <c r="I65" s="1016"/>
      <c r="J65" s="1016"/>
      <c r="K65" s="1016"/>
      <c r="L65" s="983">
        <f>E65/D65</f>
        <v>0.5416116666666667</v>
      </c>
    </row>
    <row r="66" spans="1:12" ht="12.75" thickBot="1">
      <c r="A66" s="992"/>
      <c r="B66" s="1017" t="s">
        <v>189</v>
      </c>
      <c r="C66" s="1018" t="s">
        <v>49</v>
      </c>
      <c r="D66" s="994">
        <f>1000+4300</f>
        <v>5300</v>
      </c>
      <c r="E66" s="994">
        <f>SUM(F66+K66)</f>
        <v>928</v>
      </c>
      <c r="F66" s="993">
        <f>12255.57-222.11-11105.46</f>
        <v>928</v>
      </c>
      <c r="G66" s="993"/>
      <c r="H66" s="993"/>
      <c r="I66" s="993"/>
      <c r="J66" s="993"/>
      <c r="K66" s="993"/>
      <c r="L66" s="1019">
        <f>E66/D66</f>
        <v>0.1750943396226415</v>
      </c>
    </row>
    <row r="67" spans="1:12" ht="12.75" thickTop="1">
      <c r="A67" s="13">
        <v>400</v>
      </c>
      <c r="B67" s="14"/>
      <c r="C67" s="15" t="s">
        <v>505</v>
      </c>
      <c r="D67" s="981"/>
      <c r="E67" s="981"/>
      <c r="F67" s="981"/>
      <c r="G67" s="981"/>
      <c r="H67" s="981"/>
      <c r="I67" s="981"/>
      <c r="J67" s="981"/>
      <c r="K67" s="981"/>
      <c r="L67" s="1020"/>
    </row>
    <row r="68" spans="1:12" ht="12">
      <c r="A68" s="13"/>
      <c r="B68" s="1013"/>
      <c r="C68" s="976" t="s">
        <v>506</v>
      </c>
      <c r="D68" s="978">
        <f>SUM(D70:D73)</f>
        <v>615000</v>
      </c>
      <c r="E68" s="978">
        <f>SUM(E70:E73)</f>
        <v>22087.8</v>
      </c>
      <c r="F68" s="978">
        <f>SUM(F70:F73)</f>
        <v>22087.8</v>
      </c>
      <c r="G68" s="978">
        <f>SUM(G70:G70)</f>
        <v>0</v>
      </c>
      <c r="H68" s="978">
        <f>SUM(H70:H70)</f>
        <v>0</v>
      </c>
      <c r="I68" s="978">
        <f>SUM(I70:I70)</f>
        <v>0</v>
      </c>
      <c r="J68" s="978">
        <f>SUM(J70:J70)</f>
        <v>0</v>
      </c>
      <c r="K68" s="977">
        <f>SUM(K70:K70)</f>
        <v>0</v>
      </c>
      <c r="L68" s="979">
        <f>E68/D68</f>
        <v>0.035915121951219514</v>
      </c>
    </row>
    <row r="69" spans="1:12" ht="12">
      <c r="A69" s="13"/>
      <c r="B69" s="14"/>
      <c r="C69" s="15"/>
      <c r="D69" s="981"/>
      <c r="E69" s="981"/>
      <c r="F69" s="981"/>
      <c r="G69" s="981"/>
      <c r="H69" s="981"/>
      <c r="I69" s="981"/>
      <c r="J69" s="981"/>
      <c r="K69" s="981"/>
      <c r="L69" s="985"/>
    </row>
    <row r="70" spans="1:12" ht="12">
      <c r="A70" s="1021"/>
      <c r="B70" s="23">
        <v>40002</v>
      </c>
      <c r="C70" s="1022" t="s">
        <v>530</v>
      </c>
      <c r="D70" s="981">
        <v>525000</v>
      </c>
      <c r="E70" s="982">
        <f>SUM(F70+K70)</f>
        <v>0</v>
      </c>
      <c r="F70" s="982"/>
      <c r="G70" s="1023"/>
      <c r="H70" s="982"/>
      <c r="I70" s="982"/>
      <c r="J70" s="982"/>
      <c r="K70" s="981">
        <v>0</v>
      </c>
      <c r="L70" s="983">
        <f>E70/D70</f>
        <v>0</v>
      </c>
    </row>
    <row r="71" spans="1:12" ht="12" hidden="1">
      <c r="A71" s="13"/>
      <c r="B71" s="14">
        <v>40003</v>
      </c>
      <c r="C71" s="15" t="s">
        <v>531</v>
      </c>
      <c r="D71" s="981">
        <v>0</v>
      </c>
      <c r="E71" s="982">
        <f>F71+K71</f>
        <v>0</v>
      </c>
      <c r="F71" s="982"/>
      <c r="G71" s="1024"/>
      <c r="H71" s="981"/>
      <c r="I71" s="981"/>
      <c r="J71" s="981"/>
      <c r="K71" s="981"/>
      <c r="L71" s="983"/>
    </row>
    <row r="72" spans="1:12" ht="12">
      <c r="A72" s="13"/>
      <c r="B72" s="14">
        <v>40004</v>
      </c>
      <c r="C72" s="15" t="s">
        <v>532</v>
      </c>
      <c r="D72" s="981">
        <v>40000</v>
      </c>
      <c r="E72" s="982">
        <f>F72+K72</f>
        <v>22087.8</v>
      </c>
      <c r="F72" s="982">
        <v>22087.8</v>
      </c>
      <c r="G72" s="1024"/>
      <c r="H72" s="981"/>
      <c r="I72" s="981"/>
      <c r="J72" s="981"/>
      <c r="K72" s="981"/>
      <c r="L72" s="983">
        <f>E72/D72</f>
        <v>0.552195</v>
      </c>
    </row>
    <row r="73" spans="1:12" ht="12.75" thickBot="1">
      <c r="A73" s="992"/>
      <c r="B73" s="1025">
        <v>40095</v>
      </c>
      <c r="C73" s="1018" t="s">
        <v>49</v>
      </c>
      <c r="D73" s="994">
        <v>50000</v>
      </c>
      <c r="E73" s="994">
        <f>SUM(F73+K73)</f>
        <v>0</v>
      </c>
      <c r="F73" s="994">
        <v>0</v>
      </c>
      <c r="G73" s="1026"/>
      <c r="H73" s="993"/>
      <c r="I73" s="993"/>
      <c r="J73" s="993"/>
      <c r="K73" s="993"/>
      <c r="L73" s="1019">
        <f>E73/D73</f>
        <v>0</v>
      </c>
    </row>
    <row r="74" spans="1:12" ht="12.75" thickTop="1">
      <c r="A74" s="13"/>
      <c r="B74" s="14"/>
      <c r="C74" s="15"/>
      <c r="D74" s="981"/>
      <c r="E74" s="981"/>
      <c r="F74" s="981"/>
      <c r="G74" s="981"/>
      <c r="H74" s="981"/>
      <c r="I74" s="981"/>
      <c r="J74" s="981"/>
      <c r="K74" s="981"/>
      <c r="L74" s="983"/>
    </row>
    <row r="75" spans="1:12" ht="12">
      <c r="A75" s="13">
        <v>600</v>
      </c>
      <c r="B75" s="1013"/>
      <c r="C75" s="976" t="s">
        <v>7</v>
      </c>
      <c r="D75" s="977">
        <f aca="true" t="shared" si="22" ref="D75:K75">SUM(D77:D79)</f>
        <v>8009775</v>
      </c>
      <c r="E75" s="977">
        <f t="shared" si="22"/>
        <v>4686320.0200000005</v>
      </c>
      <c r="F75" s="977">
        <f t="shared" si="22"/>
        <v>4625070.5</v>
      </c>
      <c r="G75" s="977">
        <f t="shared" si="22"/>
        <v>0</v>
      </c>
      <c r="H75" s="977">
        <f t="shared" si="22"/>
        <v>0</v>
      </c>
      <c r="I75" s="977">
        <f t="shared" si="22"/>
        <v>0</v>
      </c>
      <c r="J75" s="977">
        <f t="shared" si="22"/>
        <v>0</v>
      </c>
      <c r="K75" s="977">
        <f t="shared" si="22"/>
        <v>61249.52</v>
      </c>
      <c r="L75" s="979">
        <f>E75/D75</f>
        <v>0.5850751138452703</v>
      </c>
    </row>
    <row r="76" spans="1:12" ht="12">
      <c r="A76" s="13"/>
      <c r="B76" s="14"/>
      <c r="C76" s="15"/>
      <c r="D76" s="981"/>
      <c r="E76" s="981"/>
      <c r="F76" s="981"/>
      <c r="G76" s="981"/>
      <c r="H76" s="981"/>
      <c r="I76" s="981"/>
      <c r="J76" s="981"/>
      <c r="K76" s="981"/>
      <c r="L76" s="985"/>
    </row>
    <row r="77" spans="1:12" ht="12">
      <c r="A77" s="13"/>
      <c r="B77" s="14">
        <v>60004</v>
      </c>
      <c r="C77" s="15" t="s">
        <v>190</v>
      </c>
      <c r="D77" s="981">
        <f>4994375-300000</f>
        <v>4694375</v>
      </c>
      <c r="E77" s="982">
        <f>SUM(F77+K77)</f>
        <v>3256558.66</v>
      </c>
      <c r="F77" s="981">
        <v>3256558.66</v>
      </c>
      <c r="G77" s="981"/>
      <c r="H77" s="981"/>
      <c r="I77" s="981"/>
      <c r="J77" s="981"/>
      <c r="K77" s="981"/>
      <c r="L77" s="983">
        <f>E77/D77</f>
        <v>0.6937150653707895</v>
      </c>
    </row>
    <row r="78" spans="1:12" ht="12">
      <c r="A78" s="13"/>
      <c r="B78" s="14">
        <v>60016</v>
      </c>
      <c r="C78" s="15" t="s">
        <v>30</v>
      </c>
      <c r="D78" s="981">
        <v>3215400</v>
      </c>
      <c r="E78" s="981">
        <f>F78+K78</f>
        <v>1410241.36</v>
      </c>
      <c r="F78" s="981">
        <f>1150023.57+218488.27</f>
        <v>1368511.84</v>
      </c>
      <c r="G78" s="981"/>
      <c r="H78" s="981"/>
      <c r="I78" s="981"/>
      <c r="J78" s="981"/>
      <c r="K78" s="981">
        <v>41729.52</v>
      </c>
      <c r="L78" s="983">
        <f>E78/D78</f>
        <v>0.4385897120109474</v>
      </c>
    </row>
    <row r="79" spans="1:12" ht="12.75" thickBot="1">
      <c r="A79" s="992"/>
      <c r="B79" s="1025">
        <v>60095</v>
      </c>
      <c r="C79" s="1018" t="s">
        <v>49</v>
      </c>
      <c r="D79" s="993">
        <v>100000</v>
      </c>
      <c r="E79" s="993">
        <f>SUM(F79+K79)</f>
        <v>19520</v>
      </c>
      <c r="F79" s="993"/>
      <c r="G79" s="993"/>
      <c r="H79" s="993"/>
      <c r="I79" s="993"/>
      <c r="J79" s="993"/>
      <c r="K79" s="993">
        <v>19520</v>
      </c>
      <c r="L79" s="1019">
        <f>E78/D78</f>
        <v>0.4385897120109474</v>
      </c>
    </row>
    <row r="80" spans="1:12" ht="12.75" thickTop="1">
      <c r="A80" s="13"/>
      <c r="B80" s="14"/>
      <c r="C80" s="15"/>
      <c r="D80" s="981"/>
      <c r="E80" s="981"/>
      <c r="F80" s="981"/>
      <c r="G80" s="981"/>
      <c r="H80" s="981"/>
      <c r="I80" s="981"/>
      <c r="J80" s="981"/>
      <c r="K80" s="981"/>
      <c r="L80" s="983"/>
    </row>
    <row r="81" spans="1:12" ht="12">
      <c r="A81" s="13">
        <v>630</v>
      </c>
      <c r="B81" s="1013"/>
      <c r="C81" s="976" t="s">
        <v>507</v>
      </c>
      <c r="D81" s="977">
        <f aca="true" t="shared" si="23" ref="D81:K81">SUM(D83:D83)</f>
        <v>167400</v>
      </c>
      <c r="E81" s="977">
        <f t="shared" si="23"/>
        <v>110127.74</v>
      </c>
      <c r="F81" s="977">
        <f t="shared" si="23"/>
        <v>13643.44</v>
      </c>
      <c r="G81" s="977">
        <f t="shared" si="23"/>
        <v>10000</v>
      </c>
      <c r="H81" s="977">
        <f t="shared" si="23"/>
        <v>0</v>
      </c>
      <c r="I81" s="977">
        <f t="shared" si="23"/>
        <v>0</v>
      </c>
      <c r="J81" s="977">
        <f t="shared" si="23"/>
        <v>0</v>
      </c>
      <c r="K81" s="977">
        <f t="shared" si="23"/>
        <v>96484.3</v>
      </c>
      <c r="L81" s="979">
        <f>E81/D81</f>
        <v>0.6578718040621266</v>
      </c>
    </row>
    <row r="82" spans="1:12" ht="12">
      <c r="A82" s="13"/>
      <c r="B82" s="14"/>
      <c r="C82" s="15"/>
      <c r="D82" s="981"/>
      <c r="E82" s="981"/>
      <c r="F82" s="981"/>
      <c r="G82" s="981"/>
      <c r="H82" s="981"/>
      <c r="I82" s="981"/>
      <c r="J82" s="981"/>
      <c r="K82" s="981"/>
      <c r="L82" s="985"/>
    </row>
    <row r="83" spans="1:12" ht="12.75" thickBot="1">
      <c r="A83" s="992"/>
      <c r="B83" s="1025">
        <v>63003</v>
      </c>
      <c r="C83" s="1018" t="s">
        <v>191</v>
      </c>
      <c r="D83" s="993">
        <v>167400</v>
      </c>
      <c r="E83" s="993">
        <f>SUM(F83+K83)</f>
        <v>110127.74</v>
      </c>
      <c r="F83" s="993">
        <f>1523.04+2120.4+10000</f>
        <v>13643.44</v>
      </c>
      <c r="G83" s="993">
        <v>10000</v>
      </c>
      <c r="H83" s="993"/>
      <c r="I83" s="993"/>
      <c r="J83" s="993"/>
      <c r="K83" s="993">
        <v>96484.3</v>
      </c>
      <c r="L83" s="1019">
        <f>E83/D83</f>
        <v>0.6578718040621266</v>
      </c>
    </row>
    <row r="84" spans="1:12" ht="12.75" thickTop="1">
      <c r="A84" s="13"/>
      <c r="B84" s="14"/>
      <c r="C84" s="15"/>
      <c r="D84" s="981"/>
      <c r="E84" s="981"/>
      <c r="F84" s="981"/>
      <c r="G84" s="981"/>
      <c r="H84" s="981"/>
      <c r="I84" s="981"/>
      <c r="J84" s="981"/>
      <c r="K84" s="981"/>
      <c r="L84" s="983"/>
    </row>
    <row r="85" spans="1:12" ht="12">
      <c r="A85" s="13">
        <v>700</v>
      </c>
      <c r="B85" s="1013"/>
      <c r="C85" s="976" t="s">
        <v>8</v>
      </c>
      <c r="D85" s="977">
        <f aca="true" t="shared" si="24" ref="D85:K85">SUM(D87:D89)</f>
        <v>16740241</v>
      </c>
      <c r="E85" s="977">
        <f t="shared" si="24"/>
        <v>10579135.95</v>
      </c>
      <c r="F85" s="977">
        <f t="shared" si="24"/>
        <v>3304845.08</v>
      </c>
      <c r="G85" s="977">
        <f t="shared" si="24"/>
        <v>2500000</v>
      </c>
      <c r="H85" s="977">
        <f t="shared" si="24"/>
        <v>15822</v>
      </c>
      <c r="I85" s="977">
        <f t="shared" si="24"/>
        <v>0</v>
      </c>
      <c r="J85" s="977">
        <f t="shared" si="24"/>
        <v>0</v>
      </c>
      <c r="K85" s="977">
        <f t="shared" si="24"/>
        <v>7274290.87</v>
      </c>
      <c r="L85" s="979">
        <f>E85/D85</f>
        <v>0.6319584019130907</v>
      </c>
    </row>
    <row r="86" spans="1:12" ht="12">
      <c r="A86" s="13"/>
      <c r="B86" s="14"/>
      <c r="C86" s="15"/>
      <c r="D86" s="981"/>
      <c r="E86" s="981"/>
      <c r="F86" s="981"/>
      <c r="G86" s="981"/>
      <c r="H86" s="981"/>
      <c r="I86" s="981"/>
      <c r="J86" s="981"/>
      <c r="K86" s="981"/>
      <c r="L86" s="985"/>
    </row>
    <row r="87" spans="1:12" ht="12">
      <c r="A87" s="13"/>
      <c r="B87" s="14">
        <v>70001</v>
      </c>
      <c r="C87" s="15" t="s">
        <v>31</v>
      </c>
      <c r="D87" s="981">
        <v>6967670</v>
      </c>
      <c r="E87" s="981">
        <f>SUM(F87+K87)</f>
        <v>4575000</v>
      </c>
      <c r="F87" s="981">
        <v>2500000</v>
      </c>
      <c r="G87" s="981">
        <v>2500000</v>
      </c>
      <c r="H87" s="981"/>
      <c r="I87" s="981"/>
      <c r="J87" s="981"/>
      <c r="K87" s="981">
        <v>2075000</v>
      </c>
      <c r="L87" s="983">
        <f>E87/D87</f>
        <v>0.6566040010505664</v>
      </c>
    </row>
    <row r="88" spans="1:12" ht="12">
      <c r="A88" s="13"/>
      <c r="B88" s="14">
        <v>70005</v>
      </c>
      <c r="C88" s="15" t="s">
        <v>32</v>
      </c>
      <c r="D88" s="981">
        <v>1747000</v>
      </c>
      <c r="E88" s="981">
        <f>SUM(F88+K88)</f>
        <v>827729.08</v>
      </c>
      <c r="F88" s="981">
        <f>15822+1053.67+24397.56+89737.1+37.71+0.21+611143+37082.83</f>
        <v>779274.08</v>
      </c>
      <c r="G88" s="981"/>
      <c r="H88" s="981">
        <v>15822</v>
      </c>
      <c r="I88" s="981"/>
      <c r="J88" s="981"/>
      <c r="K88" s="981">
        <v>48455</v>
      </c>
      <c r="L88" s="983">
        <f>E88/D88</f>
        <v>0.4738002747567258</v>
      </c>
    </row>
    <row r="89" spans="1:12" ht="12.75" thickBot="1">
      <c r="A89" s="992"/>
      <c r="B89" s="1025">
        <v>70095</v>
      </c>
      <c r="C89" s="1018" t="s">
        <v>49</v>
      </c>
      <c r="D89" s="994">
        <f>8035571-10000</f>
        <v>8025571</v>
      </c>
      <c r="E89" s="994">
        <f>SUM(F89+K89)</f>
        <v>5176406.87</v>
      </c>
      <c r="F89" s="993">
        <v>25571</v>
      </c>
      <c r="G89" s="993"/>
      <c r="H89" s="993"/>
      <c r="I89" s="993"/>
      <c r="J89" s="993"/>
      <c r="K89" s="993">
        <f>5150835.87</f>
        <v>5150835.87</v>
      </c>
      <c r="L89" s="1019">
        <f>E89/D89</f>
        <v>0.6449892312958169</v>
      </c>
    </row>
    <row r="90" spans="1:12" ht="12.75" thickTop="1">
      <c r="A90" s="13"/>
      <c r="B90" s="14"/>
      <c r="C90" s="15"/>
      <c r="D90" s="981"/>
      <c r="E90" s="981"/>
      <c r="F90" s="981"/>
      <c r="G90" s="981"/>
      <c r="H90" s="981"/>
      <c r="I90" s="981"/>
      <c r="J90" s="981"/>
      <c r="K90" s="981"/>
      <c r="L90" s="983"/>
    </row>
    <row r="91" spans="1:12" ht="12">
      <c r="A91" s="13">
        <v>710</v>
      </c>
      <c r="B91" s="1013"/>
      <c r="C91" s="976" t="s">
        <v>188</v>
      </c>
      <c r="D91" s="977">
        <f aca="true" t="shared" si="25" ref="D91:K91">SUM(D93:D95)</f>
        <v>2367368</v>
      </c>
      <c r="E91" s="977">
        <f t="shared" si="25"/>
        <v>1895967.88</v>
      </c>
      <c r="F91" s="977">
        <f t="shared" si="25"/>
        <v>310967.88</v>
      </c>
      <c r="G91" s="977">
        <f t="shared" si="25"/>
        <v>0</v>
      </c>
      <c r="H91" s="977">
        <f t="shared" si="25"/>
        <v>2400</v>
      </c>
      <c r="I91" s="977">
        <f t="shared" si="25"/>
        <v>0</v>
      </c>
      <c r="J91" s="977">
        <f t="shared" si="25"/>
        <v>0</v>
      </c>
      <c r="K91" s="977">
        <f t="shared" si="25"/>
        <v>1585000</v>
      </c>
      <c r="L91" s="979">
        <f>E91/D91</f>
        <v>0.8008758587596013</v>
      </c>
    </row>
    <row r="92" spans="1:13" s="963" customFormat="1" ht="9.75" customHeight="1">
      <c r="A92" s="13"/>
      <c r="B92" s="14"/>
      <c r="C92" s="15"/>
      <c r="D92" s="981"/>
      <c r="E92" s="981"/>
      <c r="F92" s="981"/>
      <c r="G92" s="981"/>
      <c r="H92" s="981"/>
      <c r="I92" s="981"/>
      <c r="J92" s="981"/>
      <c r="K92" s="981"/>
      <c r="L92" s="985"/>
      <c r="M92" s="958"/>
    </row>
    <row r="93" spans="1:12" ht="12">
      <c r="A93" s="13"/>
      <c r="B93" s="14">
        <v>71004</v>
      </c>
      <c r="C93" s="15" t="s">
        <v>533</v>
      </c>
      <c r="D93" s="981">
        <v>429100</v>
      </c>
      <c r="E93" s="981">
        <f>SUM(F93+K93)</f>
        <v>167395.87</v>
      </c>
      <c r="F93" s="981">
        <v>167395.87</v>
      </c>
      <c r="G93" s="981"/>
      <c r="H93" s="981">
        <v>2400</v>
      </c>
      <c r="I93" s="981"/>
      <c r="J93" s="981"/>
      <c r="K93" s="981"/>
      <c r="L93" s="983">
        <f>E93/D93</f>
        <v>0.39010922861803776</v>
      </c>
    </row>
    <row r="94" spans="1:12" ht="12">
      <c r="A94" s="13"/>
      <c r="B94" s="14">
        <v>71014</v>
      </c>
      <c r="C94" s="15" t="s">
        <v>192</v>
      </c>
      <c r="D94" s="981">
        <v>336068</v>
      </c>
      <c r="E94" s="981">
        <f>SUM(F94+K94)</f>
        <v>138616.01</v>
      </c>
      <c r="F94" s="981">
        <v>138616.01</v>
      </c>
      <c r="G94" s="981"/>
      <c r="H94" s="981">
        <v>0</v>
      </c>
      <c r="I94" s="981"/>
      <c r="J94" s="981"/>
      <c r="K94" s="981"/>
      <c r="L94" s="983">
        <f>E94/D94</f>
        <v>0.41246417391718343</v>
      </c>
    </row>
    <row r="95" spans="1:12" ht="12.75" thickBot="1">
      <c r="A95" s="1027"/>
      <c r="B95" s="1025">
        <v>71095</v>
      </c>
      <c r="C95" s="1018" t="s">
        <v>49</v>
      </c>
      <c r="D95" s="993">
        <v>1602200</v>
      </c>
      <c r="E95" s="994">
        <f>SUM(F95+K95)</f>
        <v>1589956</v>
      </c>
      <c r="F95" s="993">
        <v>4956</v>
      </c>
      <c r="G95" s="993"/>
      <c r="H95" s="993"/>
      <c r="I95" s="993"/>
      <c r="J95" s="993"/>
      <c r="K95" s="993">
        <v>1585000</v>
      </c>
      <c r="L95" s="1019">
        <f>E95/D95</f>
        <v>0.9923580077393583</v>
      </c>
    </row>
    <row r="96" spans="1:12" ht="12.75" thickTop="1">
      <c r="A96" s="13"/>
      <c r="B96" s="14"/>
      <c r="C96" s="15"/>
      <c r="D96" s="981"/>
      <c r="E96" s="981"/>
      <c r="F96" s="981"/>
      <c r="G96" s="981"/>
      <c r="H96" s="981"/>
      <c r="I96" s="981"/>
      <c r="J96" s="981"/>
      <c r="K96" s="981"/>
      <c r="L96" s="983"/>
    </row>
    <row r="97" spans="1:12" ht="12">
      <c r="A97" s="13">
        <v>750</v>
      </c>
      <c r="B97" s="1013"/>
      <c r="C97" s="976" t="s">
        <v>9</v>
      </c>
      <c r="D97" s="977">
        <f aca="true" t="shared" si="26" ref="D97:K97">SUM(D99:D103)</f>
        <v>12824216</v>
      </c>
      <c r="E97" s="977">
        <f t="shared" si="26"/>
        <v>8104965.57</v>
      </c>
      <c r="F97" s="977">
        <f t="shared" si="26"/>
        <v>8087625.33</v>
      </c>
      <c r="G97" s="977">
        <f t="shared" si="26"/>
        <v>0</v>
      </c>
      <c r="H97" s="977">
        <f t="shared" si="26"/>
        <v>5864860.61</v>
      </c>
      <c r="I97" s="977">
        <f t="shared" si="26"/>
        <v>0</v>
      </c>
      <c r="J97" s="977">
        <f t="shared" si="26"/>
        <v>0</v>
      </c>
      <c r="K97" s="977">
        <f t="shared" si="26"/>
        <v>17340.239999999998</v>
      </c>
      <c r="L97" s="979">
        <f>E97/D97</f>
        <v>0.6320047611487517</v>
      </c>
    </row>
    <row r="98" spans="1:12" ht="12">
      <c r="A98" s="13"/>
      <c r="B98" s="14"/>
      <c r="C98" s="15"/>
      <c r="D98" s="981"/>
      <c r="E98" s="981"/>
      <c r="F98" s="981"/>
      <c r="G98" s="981"/>
      <c r="H98" s="981"/>
      <c r="I98" s="981"/>
      <c r="J98" s="981"/>
      <c r="K98" s="981"/>
      <c r="L98" s="985"/>
    </row>
    <row r="99" spans="1:12" ht="12">
      <c r="A99" s="13"/>
      <c r="B99" s="14">
        <v>75022</v>
      </c>
      <c r="C99" s="15" t="s">
        <v>534</v>
      </c>
      <c r="D99" s="981">
        <v>525880</v>
      </c>
      <c r="E99" s="981">
        <f>SUM(F99+K99)</f>
        <v>324225.57</v>
      </c>
      <c r="F99" s="981">
        <v>324225.57</v>
      </c>
      <c r="G99" s="981"/>
      <c r="H99" s="981">
        <v>1760</v>
      </c>
      <c r="I99" s="981"/>
      <c r="J99" s="981"/>
      <c r="K99" s="981"/>
      <c r="L99" s="983">
        <f>E99/D99</f>
        <v>0.6165390773560508</v>
      </c>
    </row>
    <row r="100" spans="1:12" ht="12">
      <c r="A100" s="13"/>
      <c r="B100" s="14">
        <v>75023</v>
      </c>
      <c r="C100" s="15" t="s">
        <v>46</v>
      </c>
      <c r="D100" s="981">
        <v>11172735</v>
      </c>
      <c r="E100" s="981">
        <f>SUM(F100+K100)</f>
        <v>7163028.18</v>
      </c>
      <c r="F100" s="981">
        <f>7163028.18-17340.24</f>
        <v>7145687.9399999995</v>
      </c>
      <c r="G100" s="981"/>
      <c r="H100" s="981">
        <f>4507599.23+462082.09+705019.4+113065.93+54137.01</f>
        <v>5841903.66</v>
      </c>
      <c r="I100" s="981"/>
      <c r="J100" s="981"/>
      <c r="K100" s="981">
        <f>8413.5+1484.74+7442</f>
        <v>17340.239999999998</v>
      </c>
      <c r="L100" s="983">
        <f>E100/D100</f>
        <v>0.6411168062251543</v>
      </c>
    </row>
    <row r="101" spans="1:12" ht="12">
      <c r="A101" s="13"/>
      <c r="B101" s="14">
        <v>75055</v>
      </c>
      <c r="C101" s="15" t="s">
        <v>535</v>
      </c>
      <c r="D101" s="981">
        <v>40000</v>
      </c>
      <c r="E101" s="981">
        <f>SUM(F101+K101)</f>
        <v>39980.19</v>
      </c>
      <c r="F101" s="981">
        <f>1843.3+24497.04+67.9+13571.95</f>
        <v>39980.19</v>
      </c>
      <c r="G101" s="981"/>
      <c r="H101" s="981">
        <f>11333+1721.72+217.23+300</f>
        <v>13571.949999999999</v>
      </c>
      <c r="I101" s="981"/>
      <c r="J101" s="981"/>
      <c r="K101" s="981"/>
      <c r="L101" s="983">
        <f>E101/D101</f>
        <v>0.99950475</v>
      </c>
    </row>
    <row r="102" spans="1:12" ht="12">
      <c r="A102" s="13"/>
      <c r="B102" s="14">
        <v>75075</v>
      </c>
      <c r="C102" s="15" t="s">
        <v>536</v>
      </c>
      <c r="D102" s="981">
        <v>589000</v>
      </c>
      <c r="E102" s="981">
        <f>SUM(F102+K102)</f>
        <v>169599.34</v>
      </c>
      <c r="F102" s="981">
        <v>169599.34</v>
      </c>
      <c r="G102" s="981"/>
      <c r="H102" s="981">
        <v>585</v>
      </c>
      <c r="I102" s="981"/>
      <c r="J102" s="981"/>
      <c r="K102" s="981">
        <v>0</v>
      </c>
      <c r="L102" s="983">
        <f>E102/D102</f>
        <v>0.2879445500848896</v>
      </c>
    </row>
    <row r="103" spans="1:12" ht="12.75" thickBot="1">
      <c r="A103" s="1028"/>
      <c r="B103" s="1029">
        <v>75095</v>
      </c>
      <c r="C103" s="1030" t="s">
        <v>49</v>
      </c>
      <c r="D103" s="1031">
        <v>496601</v>
      </c>
      <c r="E103" s="1031">
        <f>SUM(F103+K103)</f>
        <v>408132.29</v>
      </c>
      <c r="F103" s="1032">
        <v>408132.29</v>
      </c>
      <c r="G103" s="1032"/>
      <c r="H103" s="1032">
        <v>7040</v>
      </c>
      <c r="I103" s="1032"/>
      <c r="J103" s="1032"/>
      <c r="K103" s="1032"/>
      <c r="L103" s="1033">
        <f>E103/D103</f>
        <v>0.8218515266783595</v>
      </c>
    </row>
    <row r="104" spans="1:12" ht="12">
      <c r="A104" s="1034">
        <v>1</v>
      </c>
      <c r="B104" s="1035">
        <v>2</v>
      </c>
      <c r="C104" s="1035">
        <v>3</v>
      </c>
      <c r="D104" s="1036">
        <v>4</v>
      </c>
      <c r="E104" s="1036">
        <v>5</v>
      </c>
      <c r="F104" s="1036">
        <v>6</v>
      </c>
      <c r="G104" s="1036">
        <v>7</v>
      </c>
      <c r="H104" s="1036">
        <v>8</v>
      </c>
      <c r="I104" s="1036">
        <v>9</v>
      </c>
      <c r="J104" s="1036">
        <v>10</v>
      </c>
      <c r="K104" s="1036">
        <v>11</v>
      </c>
      <c r="L104" s="1037">
        <v>12</v>
      </c>
    </row>
    <row r="105" spans="1:12" ht="12">
      <c r="A105" s="13">
        <v>754</v>
      </c>
      <c r="B105" s="14"/>
      <c r="C105" s="15" t="s">
        <v>50</v>
      </c>
      <c r="D105" s="981"/>
      <c r="E105" s="981"/>
      <c r="F105" s="981"/>
      <c r="G105" s="981"/>
      <c r="H105" s="981"/>
      <c r="I105" s="981"/>
      <c r="J105" s="981"/>
      <c r="K105" s="981"/>
      <c r="L105" s="1038"/>
    </row>
    <row r="106" spans="1:12" ht="12">
      <c r="A106" s="13"/>
      <c r="B106" s="1013"/>
      <c r="C106" s="976" t="s">
        <v>51</v>
      </c>
      <c r="D106" s="977">
        <f aca="true" t="shared" si="27" ref="D106:K106">SUM(D108:D113)</f>
        <v>1382600</v>
      </c>
      <c r="E106" s="977">
        <f t="shared" si="27"/>
        <v>890264.13</v>
      </c>
      <c r="F106" s="977">
        <f t="shared" si="27"/>
        <v>890264.13</v>
      </c>
      <c r="G106" s="977">
        <f t="shared" si="27"/>
        <v>9500</v>
      </c>
      <c r="H106" s="977">
        <f t="shared" si="27"/>
        <v>548298.88</v>
      </c>
      <c r="I106" s="977">
        <f t="shared" si="27"/>
        <v>0</v>
      </c>
      <c r="J106" s="977">
        <f t="shared" si="27"/>
        <v>0</v>
      </c>
      <c r="K106" s="977">
        <f t="shared" si="27"/>
        <v>0</v>
      </c>
      <c r="L106" s="979">
        <f>E106/D106</f>
        <v>0.6439057789671633</v>
      </c>
    </row>
    <row r="107" spans="1:12" ht="12">
      <c r="A107" s="13"/>
      <c r="B107" s="14"/>
      <c r="C107" s="15"/>
      <c r="D107" s="981"/>
      <c r="E107" s="981"/>
      <c r="F107" s="981"/>
      <c r="G107" s="981"/>
      <c r="H107" s="981"/>
      <c r="I107" s="981"/>
      <c r="J107" s="981"/>
      <c r="K107" s="981"/>
      <c r="L107" s="985"/>
    </row>
    <row r="108" spans="1:12" ht="12">
      <c r="A108" s="13"/>
      <c r="B108" s="14">
        <v>75405</v>
      </c>
      <c r="C108" s="15" t="s">
        <v>537</v>
      </c>
      <c r="D108" s="981">
        <v>65000</v>
      </c>
      <c r="E108" s="981">
        <f aca="true" t="shared" si="28" ref="E108:E113">SUM(F108+K108)</f>
        <v>55000</v>
      </c>
      <c r="F108" s="981">
        <v>55000</v>
      </c>
      <c r="G108" s="981"/>
      <c r="H108" s="981"/>
      <c r="I108" s="981"/>
      <c r="J108" s="981"/>
      <c r="K108" s="981"/>
      <c r="L108" s="983">
        <f aca="true" t="shared" si="29" ref="L108:L113">E108/D108</f>
        <v>0.8461538461538461</v>
      </c>
    </row>
    <row r="109" spans="1:12" ht="12">
      <c r="A109" s="13"/>
      <c r="B109" s="14">
        <v>75411</v>
      </c>
      <c r="C109" s="15" t="s">
        <v>538</v>
      </c>
      <c r="D109" s="981">
        <v>9500</v>
      </c>
      <c r="E109" s="981">
        <f t="shared" si="28"/>
        <v>9500</v>
      </c>
      <c r="F109" s="981">
        <v>9500</v>
      </c>
      <c r="G109" s="981">
        <v>9500</v>
      </c>
      <c r="H109" s="981"/>
      <c r="I109" s="981"/>
      <c r="J109" s="981"/>
      <c r="K109" s="981"/>
      <c r="L109" s="983">
        <f t="shared" si="29"/>
        <v>1</v>
      </c>
    </row>
    <row r="110" spans="1:12" ht="12">
      <c r="A110" s="13"/>
      <c r="B110" s="14">
        <v>75412</v>
      </c>
      <c r="C110" s="15" t="s">
        <v>539</v>
      </c>
      <c r="D110" s="981">
        <v>265000</v>
      </c>
      <c r="E110" s="981">
        <f t="shared" si="28"/>
        <v>113303.8</v>
      </c>
      <c r="F110" s="981">
        <v>113303.8</v>
      </c>
      <c r="G110" s="981"/>
      <c r="H110" s="981">
        <f>30646.56+3139.07+5004.36+807.16+1512</f>
        <v>41109.15000000001</v>
      </c>
      <c r="I110" s="981"/>
      <c r="J110" s="981"/>
      <c r="K110" s="981">
        <v>0</v>
      </c>
      <c r="L110" s="983">
        <f t="shared" si="29"/>
        <v>0.42756150943396226</v>
      </c>
    </row>
    <row r="111" spans="1:12" ht="12">
      <c r="A111" s="13"/>
      <c r="B111" s="14">
        <v>75416</v>
      </c>
      <c r="C111" s="15" t="s">
        <v>52</v>
      </c>
      <c r="D111" s="981">
        <v>859000</v>
      </c>
      <c r="E111" s="981">
        <f t="shared" si="28"/>
        <v>598435.2</v>
      </c>
      <c r="F111" s="981">
        <v>598435.2</v>
      </c>
      <c r="G111" s="981"/>
      <c r="H111" s="981">
        <f>398186.09+37384.53+61243.7+10375.41</f>
        <v>507189.73</v>
      </c>
      <c r="I111" s="981"/>
      <c r="J111" s="981"/>
      <c r="K111" s="981"/>
      <c r="L111" s="983">
        <f t="shared" si="29"/>
        <v>0.6966649592549475</v>
      </c>
    </row>
    <row r="112" spans="1:12" ht="12" hidden="1">
      <c r="A112" s="13"/>
      <c r="B112" s="14">
        <v>75421</v>
      </c>
      <c r="C112" s="15" t="s">
        <v>540</v>
      </c>
      <c r="D112" s="981">
        <v>0</v>
      </c>
      <c r="E112" s="981">
        <f t="shared" si="28"/>
        <v>0</v>
      </c>
      <c r="F112" s="981">
        <v>0</v>
      </c>
      <c r="G112" s="981"/>
      <c r="H112" s="981"/>
      <c r="I112" s="981"/>
      <c r="J112" s="981"/>
      <c r="K112" s="981"/>
      <c r="L112" s="983" t="e">
        <f t="shared" si="29"/>
        <v>#DIV/0!</v>
      </c>
    </row>
    <row r="113" spans="1:12" ht="12.75" thickBot="1">
      <c r="A113" s="992"/>
      <c r="B113" s="1025">
        <v>75495</v>
      </c>
      <c r="C113" s="1018" t="s">
        <v>49</v>
      </c>
      <c r="D113" s="994">
        <v>184100</v>
      </c>
      <c r="E113" s="994">
        <f t="shared" si="28"/>
        <v>114025.13</v>
      </c>
      <c r="F113" s="993">
        <v>114025.13</v>
      </c>
      <c r="G113" s="993"/>
      <c r="H113" s="993"/>
      <c r="I113" s="993"/>
      <c r="J113" s="993"/>
      <c r="K113" s="993"/>
      <c r="L113" s="1019">
        <f t="shared" si="29"/>
        <v>0.6193651819663227</v>
      </c>
    </row>
    <row r="114" spans="1:12" ht="12.75" thickTop="1">
      <c r="A114" s="13">
        <v>756</v>
      </c>
      <c r="B114" s="23"/>
      <c r="C114" s="15" t="s">
        <v>511</v>
      </c>
      <c r="D114" s="981"/>
      <c r="E114" s="981"/>
      <c r="F114" s="981"/>
      <c r="G114" s="981"/>
      <c r="H114" s="981"/>
      <c r="I114" s="981"/>
      <c r="J114" s="981"/>
      <c r="K114" s="981"/>
      <c r="L114" s="983"/>
    </row>
    <row r="115" spans="1:12" ht="12">
      <c r="A115" s="24"/>
      <c r="B115" s="23"/>
      <c r="C115" s="15" t="s">
        <v>512</v>
      </c>
      <c r="D115" s="981"/>
      <c r="E115" s="981"/>
      <c r="F115" s="981"/>
      <c r="G115" s="981"/>
      <c r="H115" s="981"/>
      <c r="I115" s="981"/>
      <c r="J115" s="981"/>
      <c r="K115" s="981"/>
      <c r="L115" s="983"/>
    </row>
    <row r="116" spans="1:12" ht="12">
      <c r="A116" s="24"/>
      <c r="B116" s="23"/>
      <c r="C116" s="15" t="s">
        <v>513</v>
      </c>
      <c r="D116" s="981"/>
      <c r="E116" s="981"/>
      <c r="F116" s="981"/>
      <c r="G116" s="981"/>
      <c r="H116" s="981"/>
      <c r="I116" s="981"/>
      <c r="J116" s="981"/>
      <c r="K116" s="981"/>
      <c r="L116" s="983"/>
    </row>
    <row r="117" spans="1:12" ht="12">
      <c r="A117" s="24"/>
      <c r="B117" s="1039"/>
      <c r="C117" s="976" t="s">
        <v>16</v>
      </c>
      <c r="D117" s="977">
        <f aca="true" t="shared" si="30" ref="D117:K117">SUM(D120)</f>
        <v>151800</v>
      </c>
      <c r="E117" s="977">
        <f t="shared" si="30"/>
        <v>90363.44</v>
      </c>
      <c r="F117" s="977">
        <f t="shared" si="30"/>
        <v>90363.44</v>
      </c>
      <c r="G117" s="977">
        <f t="shared" si="30"/>
        <v>0</v>
      </c>
      <c r="H117" s="977">
        <f t="shared" si="30"/>
        <v>18602.65</v>
      </c>
      <c r="I117" s="977">
        <f t="shared" si="30"/>
        <v>0</v>
      </c>
      <c r="J117" s="977">
        <f t="shared" si="30"/>
        <v>0</v>
      </c>
      <c r="K117" s="977">
        <f t="shared" si="30"/>
        <v>0</v>
      </c>
      <c r="L117" s="979">
        <f>E117/D117</f>
        <v>0.5952795783926219</v>
      </c>
    </row>
    <row r="118" spans="1:12" ht="12">
      <c r="A118" s="13"/>
      <c r="B118" s="14"/>
      <c r="C118" s="15"/>
      <c r="D118" s="981"/>
      <c r="E118" s="981"/>
      <c r="F118" s="981"/>
      <c r="G118" s="981"/>
      <c r="H118" s="981"/>
      <c r="I118" s="981"/>
      <c r="J118" s="981"/>
      <c r="K118" s="981"/>
      <c r="L118" s="985"/>
    </row>
    <row r="119" spans="1:12" ht="12">
      <c r="A119" s="13"/>
      <c r="B119" s="14">
        <v>75647</v>
      </c>
      <c r="C119" s="15" t="s">
        <v>541</v>
      </c>
      <c r="D119" s="981"/>
      <c r="E119" s="981"/>
      <c r="F119" s="981"/>
      <c r="G119" s="981"/>
      <c r="H119" s="981"/>
      <c r="I119" s="981"/>
      <c r="J119" s="981"/>
      <c r="K119" s="981"/>
      <c r="L119" s="983"/>
    </row>
    <row r="120" spans="1:12" ht="12.75" thickBot="1">
      <c r="A120" s="992"/>
      <c r="B120" s="1025"/>
      <c r="C120" s="1018" t="s">
        <v>542</v>
      </c>
      <c r="D120" s="993">
        <v>151800</v>
      </c>
      <c r="E120" s="993">
        <f>SUM(F120+K120)</f>
        <v>90363.44</v>
      </c>
      <c r="F120" s="993">
        <v>90363.44</v>
      </c>
      <c r="G120" s="993"/>
      <c r="H120" s="993">
        <v>18602.65</v>
      </c>
      <c r="I120" s="993"/>
      <c r="J120" s="993"/>
      <c r="K120" s="993"/>
      <c r="L120" s="1019">
        <f>E120/D120</f>
        <v>0.5952795783926219</v>
      </c>
    </row>
    <row r="121" spans="1:12" ht="12.75" thickTop="1">
      <c r="A121" s="13"/>
      <c r="B121" s="14"/>
      <c r="C121" s="15"/>
      <c r="D121" s="981"/>
      <c r="E121" s="981"/>
      <c r="F121" s="981"/>
      <c r="G121" s="981"/>
      <c r="H121" s="981"/>
      <c r="I121" s="981"/>
      <c r="J121" s="981"/>
      <c r="K121" s="981"/>
      <c r="L121" s="983"/>
    </row>
    <row r="122" spans="1:12" ht="12">
      <c r="A122" s="13">
        <v>757</v>
      </c>
      <c r="B122" s="1013"/>
      <c r="C122" s="976" t="s">
        <v>514</v>
      </c>
      <c r="D122" s="977">
        <f aca="true" t="shared" si="31" ref="D122:K122">SUM(D125)</f>
        <v>1482750</v>
      </c>
      <c r="E122" s="977">
        <f t="shared" si="31"/>
        <v>112193.54</v>
      </c>
      <c r="F122" s="977">
        <f t="shared" si="31"/>
        <v>112193.54</v>
      </c>
      <c r="G122" s="977">
        <f t="shared" si="31"/>
        <v>0</v>
      </c>
      <c r="H122" s="977">
        <f t="shared" si="31"/>
        <v>0</v>
      </c>
      <c r="I122" s="977">
        <f t="shared" si="31"/>
        <v>112193.54</v>
      </c>
      <c r="J122" s="977">
        <f t="shared" si="31"/>
        <v>0</v>
      </c>
      <c r="K122" s="977">
        <f t="shared" si="31"/>
        <v>0</v>
      </c>
      <c r="L122" s="979">
        <f>E122/D122</f>
        <v>0.07566585061541055</v>
      </c>
    </row>
    <row r="123" spans="1:12" ht="12">
      <c r="A123" s="13"/>
      <c r="B123" s="14"/>
      <c r="C123" s="15"/>
      <c r="D123" s="981"/>
      <c r="E123" s="981"/>
      <c r="F123" s="981"/>
      <c r="G123" s="981"/>
      <c r="H123" s="981"/>
      <c r="I123" s="981"/>
      <c r="J123" s="981"/>
      <c r="K123" s="981"/>
      <c r="L123" s="985"/>
    </row>
    <row r="124" spans="1:12" ht="12">
      <c r="A124" s="13"/>
      <c r="B124" s="14">
        <v>75702</v>
      </c>
      <c r="C124" s="15" t="s">
        <v>543</v>
      </c>
      <c r="D124" s="981"/>
      <c r="E124" s="981"/>
      <c r="F124" s="981"/>
      <c r="G124" s="981"/>
      <c r="H124" s="981"/>
      <c r="I124" s="981"/>
      <c r="J124" s="981"/>
      <c r="K124" s="981"/>
      <c r="L124" s="983"/>
    </row>
    <row r="125" spans="1:12" ht="12.75" thickBot="1">
      <c r="A125" s="992"/>
      <c r="B125" s="1025"/>
      <c r="C125" s="1018" t="s">
        <v>544</v>
      </c>
      <c r="D125" s="993">
        <v>1482750</v>
      </c>
      <c r="E125" s="993">
        <f>SUM(F125+K125)</f>
        <v>112193.54</v>
      </c>
      <c r="F125" s="993">
        <v>112193.54</v>
      </c>
      <c r="G125" s="993"/>
      <c r="H125" s="993"/>
      <c r="I125" s="993">
        <v>112193.54</v>
      </c>
      <c r="J125" s="993"/>
      <c r="K125" s="993"/>
      <c r="L125" s="1019">
        <f>E125/D125</f>
        <v>0.07566585061541055</v>
      </c>
    </row>
    <row r="126" spans="1:12" ht="12.75" thickTop="1">
      <c r="A126" s="13"/>
      <c r="B126" s="14"/>
      <c r="C126" s="15"/>
      <c r="D126" s="981"/>
      <c r="E126" s="981"/>
      <c r="F126" s="981"/>
      <c r="G126" s="981"/>
      <c r="H126" s="981"/>
      <c r="I126" s="981"/>
      <c r="J126" s="981"/>
      <c r="K126" s="981"/>
      <c r="L126" s="983"/>
    </row>
    <row r="127" spans="1:12" ht="12">
      <c r="A127" s="13">
        <v>758</v>
      </c>
      <c r="B127" s="1013"/>
      <c r="C127" s="976" t="s">
        <v>17</v>
      </c>
      <c r="D127" s="977">
        <f aca="true" t="shared" si="32" ref="D127:K127">SUM(D129:D130)</f>
        <v>346329</v>
      </c>
      <c r="E127" s="977">
        <f t="shared" si="32"/>
        <v>0</v>
      </c>
      <c r="F127" s="977">
        <f t="shared" si="32"/>
        <v>0</v>
      </c>
      <c r="G127" s="977">
        <f t="shared" si="32"/>
        <v>0</v>
      </c>
      <c r="H127" s="977">
        <f t="shared" si="32"/>
        <v>0</v>
      </c>
      <c r="I127" s="977">
        <f t="shared" si="32"/>
        <v>0</v>
      </c>
      <c r="J127" s="977">
        <f t="shared" si="32"/>
        <v>0</v>
      </c>
      <c r="K127" s="977">
        <f t="shared" si="32"/>
        <v>0</v>
      </c>
      <c r="L127" s="979">
        <f>E127/D127</f>
        <v>0</v>
      </c>
    </row>
    <row r="128" spans="1:12" ht="12">
      <c r="A128" s="13"/>
      <c r="B128" s="14"/>
      <c r="C128" s="15"/>
      <c r="D128" s="981"/>
      <c r="E128" s="981"/>
      <c r="F128" s="981"/>
      <c r="G128" s="981"/>
      <c r="H128" s="981"/>
      <c r="I128" s="981"/>
      <c r="J128" s="981"/>
      <c r="K128" s="981"/>
      <c r="L128" s="985"/>
    </row>
    <row r="129" spans="1:12" ht="12">
      <c r="A129" s="13"/>
      <c r="B129" s="14">
        <v>75818</v>
      </c>
      <c r="C129" s="1022" t="s">
        <v>545</v>
      </c>
      <c r="D129" s="982">
        <v>346329</v>
      </c>
      <c r="E129" s="981">
        <f>SUM(F129+K129)</f>
        <v>0</v>
      </c>
      <c r="F129" s="981">
        <v>0</v>
      </c>
      <c r="G129" s="981"/>
      <c r="H129" s="981"/>
      <c r="I129" s="981"/>
      <c r="J129" s="981"/>
      <c r="K129" s="981">
        <v>0</v>
      </c>
      <c r="L129" s="983">
        <f>E129/D129</f>
        <v>0</v>
      </c>
    </row>
    <row r="130" spans="1:12" ht="12.75" thickBot="1">
      <c r="A130" s="992"/>
      <c r="B130" s="1025">
        <v>75831</v>
      </c>
      <c r="C130" s="1018" t="s">
        <v>110</v>
      </c>
      <c r="D130" s="994">
        <v>0</v>
      </c>
      <c r="E130" s="993">
        <f>SUM(F130+K130)</f>
        <v>0</v>
      </c>
      <c r="F130" s="993">
        <v>0</v>
      </c>
      <c r="G130" s="993"/>
      <c r="H130" s="993"/>
      <c r="I130" s="993"/>
      <c r="J130" s="993"/>
      <c r="K130" s="993"/>
      <c r="L130" s="1019"/>
    </row>
    <row r="131" spans="1:12" ht="12.75" thickTop="1">
      <c r="A131" s="24"/>
      <c r="B131" s="15"/>
      <c r="C131" s="15"/>
      <c r="D131" s="981"/>
      <c r="E131" s="981"/>
      <c r="F131" s="981"/>
      <c r="G131" s="981"/>
      <c r="H131" s="981"/>
      <c r="I131" s="981"/>
      <c r="J131" s="981"/>
      <c r="K131" s="981"/>
      <c r="L131" s="983"/>
    </row>
    <row r="132" spans="1:12" ht="12">
      <c r="A132" s="13">
        <v>801</v>
      </c>
      <c r="B132" s="1013"/>
      <c r="C132" s="976" t="s">
        <v>18</v>
      </c>
      <c r="D132" s="977">
        <f aca="true" t="shared" si="33" ref="D132:K132">SUM(D134:D142)</f>
        <v>37306166</v>
      </c>
      <c r="E132" s="977">
        <f t="shared" si="33"/>
        <v>28324748.07</v>
      </c>
      <c r="F132" s="977">
        <f t="shared" si="33"/>
        <v>27543861.23</v>
      </c>
      <c r="G132" s="977">
        <f t="shared" si="33"/>
        <v>27051716.32</v>
      </c>
      <c r="H132" s="977">
        <f t="shared" si="33"/>
        <v>45723.020000000004</v>
      </c>
      <c r="I132" s="977">
        <f t="shared" si="33"/>
        <v>0</v>
      </c>
      <c r="J132" s="977">
        <f t="shared" si="33"/>
        <v>0</v>
      </c>
      <c r="K132" s="977">
        <f t="shared" si="33"/>
        <v>780886.84</v>
      </c>
      <c r="L132" s="979">
        <f>E132/D132</f>
        <v>0.7592511133414246</v>
      </c>
    </row>
    <row r="133" spans="1:12" ht="12">
      <c r="A133" s="13"/>
      <c r="B133" s="14"/>
      <c r="C133" s="15"/>
      <c r="D133" s="981"/>
      <c r="E133" s="981"/>
      <c r="F133" s="981"/>
      <c r="G133" s="981"/>
      <c r="H133" s="981"/>
      <c r="I133" s="981"/>
      <c r="J133" s="981"/>
      <c r="K133" s="981"/>
      <c r="L133" s="985"/>
    </row>
    <row r="134" spans="1:12" ht="11.25" customHeight="1">
      <c r="A134" s="13"/>
      <c r="B134" s="14">
        <v>80101</v>
      </c>
      <c r="C134" s="15" t="s">
        <v>111</v>
      </c>
      <c r="D134" s="981">
        <f>18404395-3808</f>
        <v>18400587</v>
      </c>
      <c r="E134" s="981">
        <f aca="true" t="shared" si="34" ref="E134:E142">SUM(F134+K134)</f>
        <v>13642693.44</v>
      </c>
      <c r="F134" s="981">
        <f>13646500.54-104010.01-3807.1</f>
        <v>13538683.43</v>
      </c>
      <c r="G134" s="981">
        <f>13539490.53+1600+1400-3807.1</f>
        <v>13538683.43</v>
      </c>
      <c r="H134" s="981"/>
      <c r="I134" s="981"/>
      <c r="J134" s="981"/>
      <c r="K134" s="981">
        <v>104010.01</v>
      </c>
      <c r="L134" s="983">
        <f aca="true" t="shared" si="35" ref="L134:L142">E134/D134</f>
        <v>0.7414270772992188</v>
      </c>
    </row>
    <row r="135" spans="1:12" ht="12">
      <c r="A135" s="13"/>
      <c r="B135" s="14">
        <v>80103</v>
      </c>
      <c r="C135" s="15" t="s">
        <v>193</v>
      </c>
      <c r="D135" s="981">
        <v>578000</v>
      </c>
      <c r="E135" s="981">
        <f t="shared" si="34"/>
        <v>421638.59</v>
      </c>
      <c r="F135" s="981">
        <v>421638.59</v>
      </c>
      <c r="G135" s="981">
        <v>421638.59</v>
      </c>
      <c r="H135" s="981"/>
      <c r="I135" s="981"/>
      <c r="J135" s="981"/>
      <c r="K135" s="981"/>
      <c r="L135" s="983">
        <f t="shared" si="35"/>
        <v>0.7294785294117647</v>
      </c>
    </row>
    <row r="136" spans="1:12" ht="12">
      <c r="A136" s="13"/>
      <c r="B136" s="14">
        <v>80104</v>
      </c>
      <c r="C136" s="15" t="s">
        <v>112</v>
      </c>
      <c r="D136" s="981">
        <v>8254500</v>
      </c>
      <c r="E136" s="981">
        <f t="shared" si="34"/>
        <v>6602086.13</v>
      </c>
      <c r="F136" s="981">
        <f>6602086.13-676876.83</f>
        <v>5925209.3</v>
      </c>
      <c r="G136" s="981">
        <f>14948.1+5910261.2</f>
        <v>5925209.3</v>
      </c>
      <c r="H136" s="981"/>
      <c r="I136" s="981"/>
      <c r="J136" s="981"/>
      <c r="K136" s="981">
        <v>676876.83</v>
      </c>
      <c r="L136" s="983">
        <f t="shared" si="35"/>
        <v>0.799816600642074</v>
      </c>
    </row>
    <row r="137" spans="1:12" ht="12">
      <c r="A137" s="13"/>
      <c r="B137" s="14">
        <v>80105</v>
      </c>
      <c r="C137" s="15" t="s">
        <v>546</v>
      </c>
      <c r="D137" s="981">
        <v>35000</v>
      </c>
      <c r="E137" s="981">
        <f t="shared" si="34"/>
        <v>21125</v>
      </c>
      <c r="F137" s="981">
        <v>21125</v>
      </c>
      <c r="G137" s="981">
        <v>21125</v>
      </c>
      <c r="H137" s="981"/>
      <c r="I137" s="981"/>
      <c r="J137" s="981"/>
      <c r="K137" s="981"/>
      <c r="L137" s="983">
        <f t="shared" si="35"/>
        <v>0.6035714285714285</v>
      </c>
    </row>
    <row r="138" spans="1:12" ht="12">
      <c r="A138" s="13"/>
      <c r="B138" s="14">
        <v>80110</v>
      </c>
      <c r="C138" s="15" t="s">
        <v>114</v>
      </c>
      <c r="D138" s="981">
        <v>8932700</v>
      </c>
      <c r="E138" s="981">
        <f t="shared" si="34"/>
        <v>6929400</v>
      </c>
      <c r="F138" s="981">
        <v>6929400</v>
      </c>
      <c r="G138" s="981">
        <v>6929400</v>
      </c>
      <c r="H138" s="981"/>
      <c r="I138" s="981"/>
      <c r="J138" s="981"/>
      <c r="K138" s="981"/>
      <c r="L138" s="983">
        <f t="shared" si="35"/>
        <v>0.7757341005519048</v>
      </c>
    </row>
    <row r="139" spans="1:13" s="963" customFormat="1" ht="12">
      <c r="A139" s="13" t="s">
        <v>194</v>
      </c>
      <c r="B139" s="14">
        <v>80113</v>
      </c>
      <c r="C139" s="15" t="s">
        <v>547</v>
      </c>
      <c r="D139" s="981">
        <v>475400</v>
      </c>
      <c r="E139" s="981">
        <f t="shared" si="34"/>
        <v>217654.17</v>
      </c>
      <c r="F139" s="981">
        <v>217654.17</v>
      </c>
      <c r="G139" s="981"/>
      <c r="H139" s="981">
        <f>2491.78+401.9+25825</f>
        <v>28718.68</v>
      </c>
      <c r="I139" s="981"/>
      <c r="J139" s="981"/>
      <c r="K139" s="981"/>
      <c r="L139" s="983">
        <f t="shared" si="35"/>
        <v>0.45783376104333195</v>
      </c>
      <c r="M139" s="958"/>
    </row>
    <row r="140" spans="1:12" ht="12">
      <c r="A140" s="13"/>
      <c r="B140" s="14">
        <v>80146</v>
      </c>
      <c r="C140" s="15" t="s">
        <v>195</v>
      </c>
      <c r="D140" s="981">
        <v>171800</v>
      </c>
      <c r="E140" s="981">
        <f t="shared" si="34"/>
        <v>157660</v>
      </c>
      <c r="F140" s="981">
        <v>157660</v>
      </c>
      <c r="G140" s="981">
        <v>157660</v>
      </c>
      <c r="H140" s="981"/>
      <c r="I140" s="981"/>
      <c r="J140" s="981"/>
      <c r="K140" s="981"/>
      <c r="L140" s="983">
        <f t="shared" si="35"/>
        <v>0.9176949941792782</v>
      </c>
    </row>
    <row r="141" spans="1:12" ht="12">
      <c r="A141" s="13"/>
      <c r="B141" s="14">
        <v>80148</v>
      </c>
      <c r="C141" s="15" t="s">
        <v>548</v>
      </c>
      <c r="D141" s="981">
        <v>73000</v>
      </c>
      <c r="E141" s="981">
        <f t="shared" si="34"/>
        <v>58000</v>
      </c>
      <c r="F141" s="981">
        <v>58000</v>
      </c>
      <c r="G141" s="981">
        <v>58000</v>
      </c>
      <c r="H141" s="981"/>
      <c r="I141" s="981"/>
      <c r="J141" s="981"/>
      <c r="K141" s="981"/>
      <c r="L141" s="983">
        <f t="shared" si="35"/>
        <v>0.7945205479452054</v>
      </c>
    </row>
    <row r="142" spans="1:12" ht="12.75" thickBot="1">
      <c r="A142" s="992"/>
      <c r="B142" s="1025">
        <v>80195</v>
      </c>
      <c r="C142" s="1018" t="s">
        <v>49</v>
      </c>
      <c r="D142" s="993">
        <f>425179-40000</f>
        <v>385179</v>
      </c>
      <c r="E142" s="994">
        <f t="shared" si="34"/>
        <v>274490.74</v>
      </c>
      <c r="F142" s="993">
        <v>274490.74</v>
      </c>
      <c r="G142" s="993"/>
      <c r="H142" s="993">
        <f>281.01+45.33+16678</f>
        <v>17004.34</v>
      </c>
      <c r="I142" s="993"/>
      <c r="J142" s="993"/>
      <c r="K142" s="993"/>
      <c r="L142" s="1019">
        <f t="shared" si="35"/>
        <v>0.7126316336041165</v>
      </c>
    </row>
    <row r="143" spans="1:12" ht="12.75" thickTop="1">
      <c r="A143" s="13"/>
      <c r="B143" s="14"/>
      <c r="C143" s="15"/>
      <c r="D143" s="981"/>
      <c r="E143" s="981"/>
      <c r="F143" s="981"/>
      <c r="G143" s="981"/>
      <c r="H143" s="981"/>
      <c r="I143" s="981"/>
      <c r="J143" s="981"/>
      <c r="K143" s="981"/>
      <c r="L143" s="983"/>
    </row>
    <row r="144" spans="1:12" ht="12">
      <c r="A144" s="13">
        <v>851</v>
      </c>
      <c r="B144" s="1013"/>
      <c r="C144" s="976" t="s">
        <v>19</v>
      </c>
      <c r="D144" s="977">
        <f aca="true" t="shared" si="36" ref="D144:K144">SUM(D146:D149)</f>
        <v>899498</v>
      </c>
      <c r="E144" s="977">
        <f t="shared" si="36"/>
        <v>553388.48</v>
      </c>
      <c r="F144" s="977">
        <f t="shared" si="36"/>
        <v>553388.48</v>
      </c>
      <c r="G144" s="977">
        <f t="shared" si="36"/>
        <v>95000</v>
      </c>
      <c r="H144" s="977">
        <f t="shared" si="36"/>
        <v>215194.36</v>
      </c>
      <c r="I144" s="977">
        <f t="shared" si="36"/>
        <v>0</v>
      </c>
      <c r="J144" s="977">
        <f t="shared" si="36"/>
        <v>0</v>
      </c>
      <c r="K144" s="977">
        <f t="shared" si="36"/>
        <v>0</v>
      </c>
      <c r="L144" s="979">
        <f>E144/D144</f>
        <v>0.6152192445119389</v>
      </c>
    </row>
    <row r="145" spans="1:12" ht="12">
      <c r="A145" s="13"/>
      <c r="B145" s="14"/>
      <c r="C145" s="15"/>
      <c r="D145" s="981"/>
      <c r="E145" s="981"/>
      <c r="F145" s="981"/>
      <c r="G145" s="981"/>
      <c r="H145" s="981"/>
      <c r="I145" s="981"/>
      <c r="J145" s="981"/>
      <c r="K145" s="981"/>
      <c r="L145" s="985"/>
    </row>
    <row r="146" spans="1:12" ht="12">
      <c r="A146" s="13"/>
      <c r="B146" s="14">
        <v>85149</v>
      </c>
      <c r="C146" s="15" t="s">
        <v>549</v>
      </c>
      <c r="D146" s="981">
        <v>76000</v>
      </c>
      <c r="E146" s="981">
        <f>SUM(F146+K146)</f>
        <v>0</v>
      </c>
      <c r="F146" s="981">
        <v>0</v>
      </c>
      <c r="G146" s="981"/>
      <c r="H146" s="981"/>
      <c r="I146" s="981"/>
      <c r="J146" s="981"/>
      <c r="K146" s="981"/>
      <c r="L146" s="983">
        <f>E146/D146</f>
        <v>0</v>
      </c>
    </row>
    <row r="147" spans="1:12" ht="12">
      <c r="A147" s="13"/>
      <c r="B147" s="14">
        <v>85153</v>
      </c>
      <c r="C147" s="15" t="s">
        <v>550</v>
      </c>
      <c r="D147" s="981">
        <v>48600</v>
      </c>
      <c r="E147" s="981">
        <f>SUM(F147+K147)</f>
        <v>29869.96</v>
      </c>
      <c r="F147" s="981">
        <v>29869.96</v>
      </c>
      <c r="G147" s="981"/>
      <c r="H147" s="981"/>
      <c r="I147" s="981"/>
      <c r="J147" s="982"/>
      <c r="K147" s="1024"/>
      <c r="L147" s="983">
        <f>E147/D147</f>
        <v>0.6146082304526749</v>
      </c>
    </row>
    <row r="148" spans="1:12" ht="12">
      <c r="A148" s="13"/>
      <c r="B148" s="14">
        <v>85154</v>
      </c>
      <c r="C148" s="1022" t="s">
        <v>551</v>
      </c>
      <c r="D148" s="981">
        <v>729848</v>
      </c>
      <c r="E148" s="981">
        <f>SUM(F148+K148)</f>
        <v>478518.52</v>
      </c>
      <c r="F148" s="982">
        <v>478518.52</v>
      </c>
      <c r="G148" s="982">
        <v>50000</v>
      </c>
      <c r="H148" s="982">
        <f>10897.59+1772.49+202524.28</f>
        <v>215194.36</v>
      </c>
      <c r="I148" s="982"/>
      <c r="J148" s="982"/>
      <c r="K148" s="1024"/>
      <c r="L148" s="983">
        <f>E148/D148</f>
        <v>0.6556413390185354</v>
      </c>
    </row>
    <row r="149" spans="1:12" ht="12.75" thickBot="1">
      <c r="A149" s="992"/>
      <c r="B149" s="1025">
        <v>85195</v>
      </c>
      <c r="C149" s="1018" t="s">
        <v>49</v>
      </c>
      <c r="D149" s="994">
        <v>45050</v>
      </c>
      <c r="E149" s="994">
        <f>SUM(F149+K149)</f>
        <v>45000</v>
      </c>
      <c r="F149" s="993">
        <v>45000</v>
      </c>
      <c r="G149" s="993">
        <v>45000</v>
      </c>
      <c r="H149" s="993"/>
      <c r="I149" s="993"/>
      <c r="J149" s="993"/>
      <c r="K149" s="993"/>
      <c r="L149" s="1019">
        <f>E149/D149</f>
        <v>0.9988901220865705</v>
      </c>
    </row>
    <row r="150" spans="1:12" ht="27" customHeight="1" thickTop="1">
      <c r="A150" s="13">
        <v>852</v>
      </c>
      <c r="B150" s="1013"/>
      <c r="C150" s="976" t="s">
        <v>20</v>
      </c>
      <c r="D150" s="977">
        <f>SUM(D151:D162)</f>
        <v>8019671</v>
      </c>
      <c r="E150" s="977">
        <f>SUM(E151:E162)</f>
        <v>5114605.82</v>
      </c>
      <c r="F150" s="977">
        <f>SUM(F156:F162)+F155</f>
        <v>5114605.82</v>
      </c>
      <c r="G150" s="977">
        <f>SUM(G156:G162)</f>
        <v>97500</v>
      </c>
      <c r="H150" s="977">
        <f>SUM(H156:H162)</f>
        <v>1923014.4899999998</v>
      </c>
      <c r="I150" s="977">
        <f>SUM(I156:I162)</f>
        <v>0</v>
      </c>
      <c r="J150" s="977">
        <f>SUM(J156:J162)</f>
        <v>0</v>
      </c>
      <c r="K150" s="977">
        <f>SUM(K156:K162)</f>
        <v>0</v>
      </c>
      <c r="L150" s="979">
        <f>E150/D150</f>
        <v>0.6377575613762709</v>
      </c>
    </row>
    <row r="151" spans="1:12" ht="12">
      <c r="A151" s="13"/>
      <c r="B151" s="14"/>
      <c r="C151" s="15"/>
      <c r="D151" s="981"/>
      <c r="E151" s="981"/>
      <c r="F151" s="981"/>
      <c r="G151" s="981"/>
      <c r="H151" s="981"/>
      <c r="I151" s="981"/>
      <c r="J151" s="981"/>
      <c r="K151" s="981"/>
      <c r="L151" s="985"/>
    </row>
    <row r="152" spans="1:12" ht="12">
      <c r="A152" s="13"/>
      <c r="B152" s="14">
        <v>85213</v>
      </c>
      <c r="C152" s="1022" t="s">
        <v>552</v>
      </c>
      <c r="D152" s="981"/>
      <c r="E152" s="981"/>
      <c r="F152" s="981"/>
      <c r="G152" s="981"/>
      <c r="H152" s="981"/>
      <c r="I152" s="981"/>
      <c r="J152" s="981"/>
      <c r="K152" s="981"/>
      <c r="L152" s="983"/>
    </row>
    <row r="153" spans="1:12" ht="12">
      <c r="A153" s="13"/>
      <c r="B153" s="14"/>
      <c r="C153" s="1022" t="s">
        <v>553</v>
      </c>
      <c r="D153" s="981"/>
      <c r="E153" s="981"/>
      <c r="F153" s="981"/>
      <c r="G153" s="981"/>
      <c r="H153" s="981"/>
      <c r="I153" s="981"/>
      <c r="J153" s="981"/>
      <c r="K153" s="981"/>
      <c r="L153" s="983"/>
    </row>
    <row r="154" spans="1:12" ht="12">
      <c r="A154" s="13"/>
      <c r="B154" s="14"/>
      <c r="C154" s="1022" t="s">
        <v>554</v>
      </c>
      <c r="D154" s="981"/>
      <c r="E154" s="981"/>
      <c r="F154" s="981"/>
      <c r="G154" s="981"/>
      <c r="H154" s="981"/>
      <c r="I154" s="981"/>
      <c r="J154" s="981"/>
      <c r="K154" s="981"/>
      <c r="L154" s="983"/>
    </row>
    <row r="155" spans="1:12" ht="12">
      <c r="A155" s="13"/>
      <c r="B155" s="14"/>
      <c r="C155" s="1022" t="s">
        <v>555</v>
      </c>
      <c r="D155" s="981">
        <v>36282</v>
      </c>
      <c r="E155" s="981">
        <f>SUM(F155+K155)</f>
        <v>8591.83</v>
      </c>
      <c r="F155" s="981">
        <v>8591.83</v>
      </c>
      <c r="G155" s="981"/>
      <c r="H155" s="981"/>
      <c r="I155" s="981"/>
      <c r="J155" s="981"/>
      <c r="K155" s="981"/>
      <c r="L155" s="983">
        <f>E155/D155</f>
        <v>0.23680695661760653</v>
      </c>
    </row>
    <row r="156" spans="1:12" ht="12">
      <c r="A156" s="13"/>
      <c r="B156" s="14">
        <v>85214</v>
      </c>
      <c r="C156" s="15" t="s">
        <v>556</v>
      </c>
      <c r="D156" s="981"/>
      <c r="E156" s="981"/>
      <c r="F156" s="981"/>
      <c r="G156" s="981"/>
      <c r="H156" s="981"/>
      <c r="I156" s="981"/>
      <c r="J156" s="981"/>
      <c r="K156" s="981"/>
      <c r="L156" s="983"/>
    </row>
    <row r="157" spans="1:12" ht="12">
      <c r="A157" s="13"/>
      <c r="B157" s="14"/>
      <c r="C157" s="15" t="s">
        <v>557</v>
      </c>
      <c r="D157" s="981">
        <v>2289210</v>
      </c>
      <c r="E157" s="981">
        <f>SUM(F157+K157)</f>
        <v>1327761.52</v>
      </c>
      <c r="F157" s="981">
        <v>1327761.52</v>
      </c>
      <c r="G157" s="981"/>
      <c r="H157" s="66">
        <v>0</v>
      </c>
      <c r="I157" s="981"/>
      <c r="J157" s="981"/>
      <c r="K157" s="981"/>
      <c r="L157" s="983">
        <f>E157/D157</f>
        <v>0.580008614325466</v>
      </c>
    </row>
    <row r="158" spans="1:12" ht="12">
      <c r="A158" s="13"/>
      <c r="B158" s="14">
        <v>85215</v>
      </c>
      <c r="C158" s="15" t="s">
        <v>558</v>
      </c>
      <c r="D158" s="981">
        <v>990000</v>
      </c>
      <c r="E158" s="981">
        <f>SUM(F158+K158)</f>
        <v>732406.06</v>
      </c>
      <c r="F158" s="981">
        <v>732406.06</v>
      </c>
      <c r="G158" s="981"/>
      <c r="H158" s="981"/>
      <c r="I158" s="981"/>
      <c r="J158" s="981"/>
      <c r="K158" s="981"/>
      <c r="L158" s="983">
        <f>E158/D158</f>
        <v>0.7398041010101011</v>
      </c>
    </row>
    <row r="159" spans="1:12" ht="12">
      <c r="A159" s="13"/>
      <c r="B159" s="14">
        <v>85219</v>
      </c>
      <c r="C159" s="15" t="s">
        <v>121</v>
      </c>
      <c r="D159" s="981">
        <v>2463900</v>
      </c>
      <c r="E159" s="981">
        <f>SUM(F159+K159)</f>
        <v>1654151.74</v>
      </c>
      <c r="F159" s="981">
        <v>1654151.74</v>
      </c>
      <c r="G159" s="981"/>
      <c r="H159" s="981">
        <f>1022956.07+100709.51+171256.03+26267.39+1400</f>
        <v>1322588.9999999998</v>
      </c>
      <c r="I159" s="981"/>
      <c r="J159" s="981"/>
      <c r="K159" s="981"/>
      <c r="L159" s="983">
        <f>E159/D159</f>
        <v>0.6713550631113275</v>
      </c>
    </row>
    <row r="160" spans="1:12" ht="12">
      <c r="A160" s="13"/>
      <c r="B160" s="14">
        <v>85228</v>
      </c>
      <c r="C160" s="15" t="s">
        <v>559</v>
      </c>
      <c r="D160" s="981"/>
      <c r="E160" s="981"/>
      <c r="F160" s="981"/>
      <c r="G160" s="981"/>
      <c r="H160" s="981"/>
      <c r="I160" s="981"/>
      <c r="J160" s="981"/>
      <c r="K160" s="981"/>
      <c r="L160" s="983"/>
    </row>
    <row r="161" spans="1:12" ht="12">
      <c r="A161" s="13"/>
      <c r="B161" s="14"/>
      <c r="C161" s="15" t="s">
        <v>560</v>
      </c>
      <c r="D161" s="981">
        <v>1041000</v>
      </c>
      <c r="E161" s="981">
        <f>SUM(F161+K161)</f>
        <v>681234.77</v>
      </c>
      <c r="F161" s="981">
        <v>681234.77</v>
      </c>
      <c r="G161" s="981"/>
      <c r="H161" s="66">
        <f>458705.87+54954.85+73095.04+12269.73</f>
        <v>599025.49</v>
      </c>
      <c r="I161" s="981"/>
      <c r="J161" s="981"/>
      <c r="K161" s="981"/>
      <c r="L161" s="983">
        <f>E161/D161</f>
        <v>0.6544041978866475</v>
      </c>
    </row>
    <row r="162" spans="1:12" ht="12">
      <c r="A162" s="984"/>
      <c r="B162" s="1013">
        <v>85295</v>
      </c>
      <c r="C162" s="976" t="s">
        <v>49</v>
      </c>
      <c r="D162" s="978">
        <v>1199279</v>
      </c>
      <c r="E162" s="978">
        <f>SUM(F162+K162)</f>
        <v>710459.9</v>
      </c>
      <c r="F162" s="977">
        <v>710459.9</v>
      </c>
      <c r="G162" s="977">
        <v>97500</v>
      </c>
      <c r="H162" s="977">
        <f>1400</f>
        <v>1400</v>
      </c>
      <c r="I162" s="977"/>
      <c r="J162" s="977"/>
      <c r="K162" s="977"/>
      <c r="L162" s="979">
        <f>E162/D162</f>
        <v>0.5924058538505219</v>
      </c>
    </row>
    <row r="163" spans="1:12" ht="12">
      <c r="A163" s="1040">
        <v>1</v>
      </c>
      <c r="B163" s="1041">
        <v>2</v>
      </c>
      <c r="C163" s="1041">
        <v>3</v>
      </c>
      <c r="D163" s="1042">
        <v>4</v>
      </c>
      <c r="E163" s="1042">
        <v>5</v>
      </c>
      <c r="F163" s="1042">
        <v>6</v>
      </c>
      <c r="G163" s="1042">
        <v>7</v>
      </c>
      <c r="H163" s="1042">
        <v>8</v>
      </c>
      <c r="I163" s="1042">
        <v>9</v>
      </c>
      <c r="J163" s="1042">
        <v>10</v>
      </c>
      <c r="K163" s="1042">
        <v>11</v>
      </c>
      <c r="L163" s="1043">
        <v>12</v>
      </c>
    </row>
    <row r="164" spans="1:13" s="44" customFormat="1" ht="12">
      <c r="A164" s="1044"/>
      <c r="B164" s="1045"/>
      <c r="C164" s="1045"/>
      <c r="D164" s="1046"/>
      <c r="E164" s="1046"/>
      <c r="F164" s="1046"/>
      <c r="G164" s="1046"/>
      <c r="H164" s="1046"/>
      <c r="I164" s="1046"/>
      <c r="J164" s="1046"/>
      <c r="K164" s="1046"/>
      <c r="L164" s="1047"/>
      <c r="M164" s="958"/>
    </row>
    <row r="165" spans="1:13" s="1048" customFormat="1" ht="12">
      <c r="A165" s="13"/>
      <c r="B165" s="14"/>
      <c r="C165" s="15" t="s">
        <v>516</v>
      </c>
      <c r="D165" s="981"/>
      <c r="E165" s="981"/>
      <c r="F165" s="981"/>
      <c r="G165" s="981"/>
      <c r="H165" s="981"/>
      <c r="I165" s="981"/>
      <c r="J165" s="981"/>
      <c r="K165" s="981"/>
      <c r="L165" s="983"/>
      <c r="M165" s="958"/>
    </row>
    <row r="166" spans="1:13" s="1048" customFormat="1" ht="12">
      <c r="A166" s="13">
        <v>853</v>
      </c>
      <c r="B166" s="1013"/>
      <c r="C166" s="976" t="s">
        <v>517</v>
      </c>
      <c r="D166" s="977">
        <f aca="true" t="shared" si="37" ref="D166:K166">SUM(D168:D169)</f>
        <v>1600504</v>
      </c>
      <c r="E166" s="977">
        <f t="shared" si="37"/>
        <v>1174110.71</v>
      </c>
      <c r="F166" s="977">
        <f t="shared" si="37"/>
        <v>1174110.71</v>
      </c>
      <c r="G166" s="977">
        <f t="shared" si="37"/>
        <v>709900</v>
      </c>
      <c r="H166" s="977">
        <f t="shared" si="37"/>
        <v>139210.45</v>
      </c>
      <c r="I166" s="977">
        <f t="shared" si="37"/>
        <v>0</v>
      </c>
      <c r="J166" s="977">
        <f t="shared" si="37"/>
        <v>0</v>
      </c>
      <c r="K166" s="977">
        <f t="shared" si="37"/>
        <v>0</v>
      </c>
      <c r="L166" s="979">
        <f>E166/D166</f>
        <v>0.7335881134942492</v>
      </c>
      <c r="M166" s="958"/>
    </row>
    <row r="167" spans="1:12" ht="12">
      <c r="A167" s="13"/>
      <c r="B167" s="14"/>
      <c r="C167" s="15"/>
      <c r="D167" s="981"/>
      <c r="E167" s="981"/>
      <c r="F167" s="981"/>
      <c r="G167" s="981"/>
      <c r="H167" s="981"/>
      <c r="I167" s="981"/>
      <c r="J167" s="981"/>
      <c r="K167" s="981"/>
      <c r="L167" s="985"/>
    </row>
    <row r="168" spans="1:12" ht="12">
      <c r="A168" s="13"/>
      <c r="B168" s="14">
        <v>85305</v>
      </c>
      <c r="C168" s="15" t="s">
        <v>196</v>
      </c>
      <c r="D168" s="982">
        <v>976900</v>
      </c>
      <c r="E168" s="981">
        <f>SUM(F168+K168)</f>
        <v>697900</v>
      </c>
      <c r="F168" s="981">
        <v>697900</v>
      </c>
      <c r="G168" s="981">
        <v>697900</v>
      </c>
      <c r="H168" s="981"/>
      <c r="I168" s="981"/>
      <c r="J168" s="981"/>
      <c r="K168" s="981"/>
      <c r="L168" s="983">
        <f>E168/D168</f>
        <v>0.7144027024260415</v>
      </c>
    </row>
    <row r="169" spans="1:12" ht="12.75" thickBot="1">
      <c r="A169" s="992"/>
      <c r="B169" s="1025">
        <v>85395</v>
      </c>
      <c r="C169" s="1018" t="s">
        <v>49</v>
      </c>
      <c r="D169" s="994">
        <f>1444990-D270-D310</f>
        <v>623604</v>
      </c>
      <c r="E169" s="994">
        <f>SUM(F169+K169)</f>
        <v>476210.7100000001</v>
      </c>
      <c r="F169" s="993">
        <f>1144296.55-F270-F310</f>
        <v>476210.7100000001</v>
      </c>
      <c r="G169" s="993">
        <f>174486.5+10262+183617+10801+87000-G270-G310</f>
        <v>12000</v>
      </c>
      <c r="H169" s="993">
        <f>64623.76+3804.62+16087.37+1326.66+2523.5+209.79+2907+135158.24+21140.97-H270-H310</f>
        <v>139210.45</v>
      </c>
      <c r="I169" s="993"/>
      <c r="J169" s="993"/>
      <c r="K169" s="993"/>
      <c r="L169" s="1019">
        <f>E169/D169</f>
        <v>0.7636428085772382</v>
      </c>
    </row>
    <row r="170" spans="1:12" ht="12.75" thickTop="1">
      <c r="A170" s="13"/>
      <c r="B170" s="14"/>
      <c r="C170" s="15"/>
      <c r="D170" s="981"/>
      <c r="E170" s="981"/>
      <c r="F170" s="981"/>
      <c r="G170" s="981"/>
      <c r="H170" s="981"/>
      <c r="I170" s="981"/>
      <c r="J170" s="981"/>
      <c r="K170" s="981"/>
      <c r="L170" s="983"/>
    </row>
    <row r="171" spans="1:12" ht="12">
      <c r="A171" s="13">
        <v>854</v>
      </c>
      <c r="B171" s="1013"/>
      <c r="C171" s="976" t="s">
        <v>518</v>
      </c>
      <c r="D171" s="977">
        <f aca="true" t="shared" si="38" ref="D171:K171">SUM(D173:D177)</f>
        <v>410286</v>
      </c>
      <c r="E171" s="977">
        <f t="shared" si="38"/>
        <v>361208.32999999996</v>
      </c>
      <c r="F171" s="977">
        <f t="shared" si="38"/>
        <v>361208.32999999996</v>
      </c>
      <c r="G171" s="977">
        <f t="shared" si="38"/>
        <v>320000</v>
      </c>
      <c r="H171" s="977">
        <f t="shared" si="38"/>
        <v>4300</v>
      </c>
      <c r="I171" s="977">
        <f t="shared" si="38"/>
        <v>0</v>
      </c>
      <c r="J171" s="977">
        <f t="shared" si="38"/>
        <v>0</v>
      </c>
      <c r="K171" s="977">
        <f t="shared" si="38"/>
        <v>0</v>
      </c>
      <c r="L171" s="979">
        <f>E171/D171</f>
        <v>0.8803818068371818</v>
      </c>
    </row>
    <row r="172" spans="1:12" ht="12">
      <c r="A172" s="13"/>
      <c r="B172" s="1049"/>
      <c r="C172" s="987"/>
      <c r="D172" s="989"/>
      <c r="E172" s="1024"/>
      <c r="F172" s="989"/>
      <c r="G172" s="981"/>
      <c r="H172" s="981"/>
      <c r="I172" s="981"/>
      <c r="J172" s="981"/>
      <c r="K172" s="981"/>
      <c r="L172" s="983"/>
    </row>
    <row r="173" spans="1:12" ht="12">
      <c r="A173" s="13"/>
      <c r="B173" s="14">
        <v>85412</v>
      </c>
      <c r="C173" s="15" t="s">
        <v>561</v>
      </c>
      <c r="D173" s="982"/>
      <c r="E173" s="982"/>
      <c r="F173" s="982"/>
      <c r="G173" s="1024"/>
      <c r="H173" s="981"/>
      <c r="I173" s="981"/>
      <c r="J173" s="981"/>
      <c r="K173" s="981"/>
      <c r="L173" s="983"/>
    </row>
    <row r="174" spans="1:12" ht="12">
      <c r="A174" s="13"/>
      <c r="B174" s="14"/>
      <c r="C174" s="15" t="s">
        <v>562</v>
      </c>
      <c r="D174" s="982">
        <f>60000+15982</f>
        <v>75982</v>
      </c>
      <c r="E174" s="982">
        <f>SUM(F174+K174)</f>
        <v>75752.67</v>
      </c>
      <c r="F174" s="982">
        <v>75752.67</v>
      </c>
      <c r="G174" s="1024">
        <v>60000</v>
      </c>
      <c r="H174" s="981">
        <v>4300</v>
      </c>
      <c r="I174" s="981"/>
      <c r="J174" s="981"/>
      <c r="K174" s="981"/>
      <c r="L174" s="983">
        <f>E174/D174</f>
        <v>0.9969817851596431</v>
      </c>
    </row>
    <row r="175" spans="1:12" ht="11.25" customHeight="1">
      <c r="A175" s="13"/>
      <c r="B175" s="14">
        <v>85415</v>
      </c>
      <c r="C175" s="15" t="s">
        <v>197</v>
      </c>
      <c r="D175" s="982">
        <v>244304</v>
      </c>
      <c r="E175" s="982">
        <f>SUM(F175+K175)</f>
        <v>200000</v>
      </c>
      <c r="F175" s="982">
        <v>200000</v>
      </c>
      <c r="G175" s="1024">
        <v>200000</v>
      </c>
      <c r="H175" s="981"/>
      <c r="I175" s="981"/>
      <c r="J175" s="981"/>
      <c r="K175" s="981"/>
      <c r="L175" s="983">
        <f>E175/D175</f>
        <v>0.8186521710655577</v>
      </c>
    </row>
    <row r="176" spans="1:12" ht="12">
      <c r="A176" s="13"/>
      <c r="B176" s="14">
        <v>85416</v>
      </c>
      <c r="C176" s="15" t="s">
        <v>563</v>
      </c>
      <c r="D176" s="982">
        <v>30000</v>
      </c>
      <c r="E176" s="982">
        <f>SUM(F176+K176)</f>
        <v>25455.66</v>
      </c>
      <c r="F176" s="982">
        <v>25455.66</v>
      </c>
      <c r="G176" s="1024"/>
      <c r="H176" s="981"/>
      <c r="I176" s="981"/>
      <c r="J176" s="981"/>
      <c r="K176" s="981"/>
      <c r="L176" s="983">
        <f>E176/D176</f>
        <v>0.848522</v>
      </c>
    </row>
    <row r="177" spans="1:12" ht="12.75" thickBot="1">
      <c r="A177" s="992"/>
      <c r="B177" s="1025">
        <v>85495</v>
      </c>
      <c r="C177" s="1018" t="s">
        <v>49</v>
      </c>
      <c r="D177" s="994">
        <v>60000</v>
      </c>
      <c r="E177" s="994">
        <f>SUM(F177+K177)</f>
        <v>60000</v>
      </c>
      <c r="F177" s="994">
        <v>60000</v>
      </c>
      <c r="G177" s="1026">
        <v>60000</v>
      </c>
      <c r="H177" s="993"/>
      <c r="I177" s="993"/>
      <c r="J177" s="993"/>
      <c r="K177" s="993"/>
      <c r="L177" s="1019">
        <f>E177/D177</f>
        <v>1</v>
      </c>
    </row>
    <row r="178" spans="1:12" ht="12" customHeight="1" thickTop="1">
      <c r="A178" s="13"/>
      <c r="B178" s="14"/>
      <c r="C178" s="15"/>
      <c r="D178" s="981"/>
      <c r="E178" s="981"/>
      <c r="F178" s="981"/>
      <c r="G178" s="981"/>
      <c r="H178" s="981"/>
      <c r="I178" s="981"/>
      <c r="J178" s="981"/>
      <c r="K178" s="981"/>
      <c r="L178" s="983"/>
    </row>
    <row r="179" spans="1:12" ht="12">
      <c r="A179" s="13">
        <v>900</v>
      </c>
      <c r="B179" s="14"/>
      <c r="C179" s="15" t="s">
        <v>564</v>
      </c>
      <c r="D179" s="981"/>
      <c r="E179" s="981"/>
      <c r="F179" s="981"/>
      <c r="G179" s="981"/>
      <c r="H179" s="981"/>
      <c r="I179" s="981"/>
      <c r="J179" s="981"/>
      <c r="K179" s="981"/>
      <c r="L179" s="983"/>
    </row>
    <row r="180" spans="1:12" ht="12">
      <c r="A180" s="13"/>
      <c r="B180" s="1013"/>
      <c r="C180" s="976" t="s">
        <v>565</v>
      </c>
      <c r="D180" s="977">
        <f aca="true" t="shared" si="39" ref="D180:K180">SUM(D182:D189)</f>
        <v>12431785</v>
      </c>
      <c r="E180" s="977">
        <f t="shared" si="39"/>
        <v>4515339.02</v>
      </c>
      <c r="F180" s="977">
        <f t="shared" si="39"/>
        <v>3372305.96</v>
      </c>
      <c r="G180" s="977">
        <f t="shared" si="39"/>
        <v>118427.22</v>
      </c>
      <c r="H180" s="977">
        <f t="shared" si="39"/>
        <v>164561.93</v>
      </c>
      <c r="I180" s="977">
        <f t="shared" si="39"/>
        <v>0</v>
      </c>
      <c r="J180" s="977">
        <f t="shared" si="39"/>
        <v>0</v>
      </c>
      <c r="K180" s="977">
        <f t="shared" si="39"/>
        <v>1143033.06</v>
      </c>
      <c r="L180" s="979">
        <f>E180/D180</f>
        <v>0.3632092269935492</v>
      </c>
    </row>
    <row r="181" spans="1:12" ht="12">
      <c r="A181" s="13"/>
      <c r="B181" s="14"/>
      <c r="C181" s="15"/>
      <c r="D181" s="981"/>
      <c r="E181" s="981"/>
      <c r="F181" s="981"/>
      <c r="G181" s="981"/>
      <c r="H181" s="981"/>
      <c r="I181" s="981"/>
      <c r="J181" s="981"/>
      <c r="K181" s="981"/>
      <c r="L181" s="1038"/>
    </row>
    <row r="182" spans="1:12" ht="12">
      <c r="A182" s="13"/>
      <c r="B182" s="14">
        <v>90001</v>
      </c>
      <c r="C182" s="15" t="s">
        <v>125</v>
      </c>
      <c r="D182" s="981">
        <v>3506620</v>
      </c>
      <c r="E182" s="981">
        <f>SUM(F182+K182)</f>
        <v>500886.34</v>
      </c>
      <c r="F182" s="981">
        <f>500886.34-K182</f>
        <v>127344.77000000002</v>
      </c>
      <c r="G182" s="981"/>
      <c r="H182" s="981"/>
      <c r="I182" s="981"/>
      <c r="J182" s="981"/>
      <c r="K182" s="981">
        <v>373541.57</v>
      </c>
      <c r="L182" s="983">
        <f>E182/D182</f>
        <v>0.14284021080128442</v>
      </c>
    </row>
    <row r="183" spans="1:12" ht="12">
      <c r="A183" s="13"/>
      <c r="B183" s="14">
        <v>90002</v>
      </c>
      <c r="C183" s="15" t="s">
        <v>126</v>
      </c>
      <c r="D183" s="981">
        <v>1350000</v>
      </c>
      <c r="E183" s="981">
        <f>SUM(F183+K183)</f>
        <v>0</v>
      </c>
      <c r="F183" s="981"/>
      <c r="G183" s="981"/>
      <c r="H183" s="981"/>
      <c r="I183" s="981"/>
      <c r="J183" s="981"/>
      <c r="K183" s="981">
        <v>0</v>
      </c>
      <c r="L183" s="983">
        <f>E183/D183</f>
        <v>0</v>
      </c>
    </row>
    <row r="184" spans="1:12" ht="11.25" customHeight="1">
      <c r="A184" s="13"/>
      <c r="B184" s="14">
        <v>90003</v>
      </c>
      <c r="C184" s="15" t="s">
        <v>566</v>
      </c>
      <c r="D184" s="981">
        <v>1616925</v>
      </c>
      <c r="E184" s="981">
        <f>SUM(F184+K184)</f>
        <v>1024274.49</v>
      </c>
      <c r="F184" s="981">
        <v>1024274.49</v>
      </c>
      <c r="G184" s="981"/>
      <c r="H184" s="981">
        <f>35009.24+5040.41+2084.28+2100</f>
        <v>44233.92999999999</v>
      </c>
      <c r="I184" s="981"/>
      <c r="J184" s="981"/>
      <c r="K184" s="981"/>
      <c r="L184" s="983">
        <f>E184/D184</f>
        <v>0.6334706247970685</v>
      </c>
    </row>
    <row r="185" spans="1:12" ht="12">
      <c r="A185" s="13"/>
      <c r="B185" s="14">
        <v>90004</v>
      </c>
      <c r="C185" s="15" t="s">
        <v>128</v>
      </c>
      <c r="D185" s="981">
        <v>1109500</v>
      </c>
      <c r="E185" s="981">
        <f>SUM(F185+K185)</f>
        <v>378426.54</v>
      </c>
      <c r="F185" s="981">
        <v>378426.54</v>
      </c>
      <c r="G185" s="981"/>
      <c r="H185" s="981"/>
      <c r="I185" s="981"/>
      <c r="J185" s="981"/>
      <c r="K185" s="981"/>
      <c r="L185" s="983">
        <f>E185/D185</f>
        <v>0.3410784497521406</v>
      </c>
    </row>
    <row r="186" spans="1:13" s="963" customFormat="1" ht="12">
      <c r="A186" s="13"/>
      <c r="B186" s="14">
        <v>90015</v>
      </c>
      <c r="C186" s="15" t="s">
        <v>567</v>
      </c>
      <c r="D186" s="981">
        <v>2284679</v>
      </c>
      <c r="E186" s="981">
        <f>SUM(F186+K186)</f>
        <v>1695710.27</v>
      </c>
      <c r="F186" s="981">
        <f>1695710.27-K186</f>
        <v>1347738.19</v>
      </c>
      <c r="G186" s="981"/>
      <c r="H186" s="981"/>
      <c r="I186" s="981"/>
      <c r="J186" s="981"/>
      <c r="K186" s="981">
        <v>347972.08</v>
      </c>
      <c r="L186" s="983">
        <f>E186/D186</f>
        <v>0.7422094176030856</v>
      </c>
      <c r="M186" s="958"/>
    </row>
    <row r="187" spans="1:12" ht="12">
      <c r="A187" s="13"/>
      <c r="B187" s="14">
        <v>90020</v>
      </c>
      <c r="C187" s="15" t="s">
        <v>568</v>
      </c>
      <c r="D187" s="981"/>
      <c r="E187" s="981"/>
      <c r="F187" s="981"/>
      <c r="G187" s="981"/>
      <c r="H187" s="981"/>
      <c r="I187" s="981"/>
      <c r="J187" s="981"/>
      <c r="K187" s="981"/>
      <c r="L187" s="983"/>
    </row>
    <row r="188" spans="1:12" ht="12">
      <c r="A188" s="13"/>
      <c r="B188" s="14"/>
      <c r="C188" s="15" t="s">
        <v>569</v>
      </c>
      <c r="D188" s="981">
        <v>82098</v>
      </c>
      <c r="E188" s="981">
        <f>SUM(F188+K188)</f>
        <v>14134.3</v>
      </c>
      <c r="F188" s="981">
        <v>14134.3</v>
      </c>
      <c r="G188" s="981"/>
      <c r="H188" s="981"/>
      <c r="I188" s="981"/>
      <c r="J188" s="981"/>
      <c r="K188" s="981"/>
      <c r="L188" s="983">
        <f>E188/D188</f>
        <v>0.1721637555117055</v>
      </c>
    </row>
    <row r="189" spans="1:12" ht="12.75" thickBot="1">
      <c r="A189" s="992"/>
      <c r="B189" s="1025">
        <v>90095</v>
      </c>
      <c r="C189" s="1018" t="s">
        <v>49</v>
      </c>
      <c r="D189" s="993">
        <v>2481963</v>
      </c>
      <c r="E189" s="994">
        <f>SUM(F189+K189)</f>
        <v>901907.08</v>
      </c>
      <c r="F189" s="993">
        <f>901907.08-K189</f>
        <v>480387.67</v>
      </c>
      <c r="G189" s="993">
        <v>118427.22</v>
      </c>
      <c r="H189" s="993">
        <f>14027.59+2147.77+104152.64</f>
        <v>120328</v>
      </c>
      <c r="I189" s="993"/>
      <c r="J189" s="993"/>
      <c r="K189" s="993">
        <f>406635.41+12651.4+2232.6</f>
        <v>421519.41</v>
      </c>
      <c r="L189" s="1019">
        <f>E189/D189</f>
        <v>0.36338457906100935</v>
      </c>
    </row>
    <row r="190" spans="1:12" ht="12.75" thickTop="1">
      <c r="A190" s="13"/>
      <c r="B190" s="14"/>
      <c r="C190" s="15"/>
      <c r="D190" s="981"/>
      <c r="E190" s="981"/>
      <c r="F190" s="981"/>
      <c r="G190" s="981"/>
      <c r="H190" s="981"/>
      <c r="I190" s="981"/>
      <c r="J190" s="981"/>
      <c r="K190" s="981"/>
      <c r="L190" s="983"/>
    </row>
    <row r="191" spans="1:12" ht="12">
      <c r="A191" s="13">
        <v>921</v>
      </c>
      <c r="B191" s="14"/>
      <c r="C191" s="15" t="s">
        <v>521</v>
      </c>
      <c r="D191" s="981"/>
      <c r="E191" s="981"/>
      <c r="F191" s="981"/>
      <c r="G191" s="981"/>
      <c r="H191" s="981"/>
      <c r="I191" s="981"/>
      <c r="J191" s="981"/>
      <c r="K191" s="981"/>
      <c r="L191" s="983"/>
    </row>
    <row r="192" spans="1:12" ht="12">
      <c r="A192" s="13"/>
      <c r="B192" s="1013"/>
      <c r="C192" s="976" t="s">
        <v>522</v>
      </c>
      <c r="D192" s="977">
        <f aca="true" t="shared" si="40" ref="D192:K192">SUM(D194:D197)</f>
        <v>6351228</v>
      </c>
      <c r="E192" s="977">
        <f t="shared" si="40"/>
        <v>3390987.2199999997</v>
      </c>
      <c r="F192" s="977">
        <f t="shared" si="40"/>
        <v>3008748.05</v>
      </c>
      <c r="G192" s="977">
        <f t="shared" si="40"/>
        <v>2508000</v>
      </c>
      <c r="H192" s="977">
        <f t="shared" si="40"/>
        <v>87852.14000000001</v>
      </c>
      <c r="I192" s="977">
        <f t="shared" si="40"/>
        <v>0</v>
      </c>
      <c r="J192" s="977">
        <f t="shared" si="40"/>
        <v>0</v>
      </c>
      <c r="K192" s="977">
        <f t="shared" si="40"/>
        <v>382239.17000000004</v>
      </c>
      <c r="L192" s="979">
        <f>E192/D192</f>
        <v>0.5339104847125626</v>
      </c>
    </row>
    <row r="193" spans="1:12" ht="12">
      <c r="A193" s="13"/>
      <c r="B193" s="14"/>
      <c r="C193" s="15"/>
      <c r="D193" s="981"/>
      <c r="E193" s="981"/>
      <c r="F193" s="981"/>
      <c r="G193" s="981"/>
      <c r="H193" s="981"/>
      <c r="I193" s="981"/>
      <c r="J193" s="981"/>
      <c r="K193" s="981"/>
      <c r="L193" s="985"/>
    </row>
    <row r="194" spans="1:13" s="963" customFormat="1" ht="12">
      <c r="A194" s="13"/>
      <c r="B194" s="14">
        <v>92109</v>
      </c>
      <c r="C194" s="15" t="s">
        <v>134</v>
      </c>
      <c r="D194" s="981">
        <v>4429928</v>
      </c>
      <c r="E194" s="982">
        <f>SUM(F194+K194)</f>
        <v>2366106.51</v>
      </c>
      <c r="F194" s="981">
        <f>2366106.51-K194</f>
        <v>1991540.8599999999</v>
      </c>
      <c r="G194" s="981">
        <v>1540000</v>
      </c>
      <c r="H194" s="66">
        <f>4637.63+614.59+47349.98</f>
        <v>52602.200000000004</v>
      </c>
      <c r="I194" s="981"/>
      <c r="J194" s="981"/>
      <c r="K194" s="981">
        <f>366065.65+7500+1000</f>
        <v>374565.65</v>
      </c>
      <c r="L194" s="983">
        <f>E194/D194</f>
        <v>0.5341185026032025</v>
      </c>
      <c r="M194" s="958"/>
    </row>
    <row r="195" spans="1:12" ht="12">
      <c r="A195" s="13"/>
      <c r="B195" s="14">
        <v>92116</v>
      </c>
      <c r="C195" s="15" t="s">
        <v>570</v>
      </c>
      <c r="D195" s="981">
        <v>1206300</v>
      </c>
      <c r="E195" s="982">
        <f>SUM(F195+K195)</f>
        <v>918000</v>
      </c>
      <c r="F195" s="981">
        <v>918000</v>
      </c>
      <c r="G195" s="981">
        <v>918000</v>
      </c>
      <c r="H195" s="981"/>
      <c r="I195" s="981"/>
      <c r="J195" s="981"/>
      <c r="K195" s="981">
        <v>0</v>
      </c>
      <c r="L195" s="983">
        <f>E195/D195</f>
        <v>0.7610047251927381</v>
      </c>
    </row>
    <row r="196" spans="1:12" ht="12">
      <c r="A196" s="13"/>
      <c r="B196" s="14">
        <v>92120</v>
      </c>
      <c r="C196" s="15" t="s">
        <v>198</v>
      </c>
      <c r="D196" s="981">
        <v>644000</v>
      </c>
      <c r="E196" s="982">
        <f>SUM(F196+K196)</f>
        <v>52923.46000000001</v>
      </c>
      <c r="F196" s="981">
        <f>52923.46-K196</f>
        <v>45249.94</v>
      </c>
      <c r="G196" s="981">
        <v>10000</v>
      </c>
      <c r="H196" s="981">
        <v>35249.94</v>
      </c>
      <c r="I196" s="981"/>
      <c r="J196" s="981"/>
      <c r="K196" s="981">
        <v>7673.52</v>
      </c>
      <c r="L196" s="983">
        <f>E196/D196</f>
        <v>0.08217928571428572</v>
      </c>
    </row>
    <row r="197" spans="1:12" ht="12.75" thickBot="1">
      <c r="A197" s="992"/>
      <c r="B197" s="1025">
        <v>92195</v>
      </c>
      <c r="C197" s="1018" t="s">
        <v>49</v>
      </c>
      <c r="D197" s="994">
        <v>71000</v>
      </c>
      <c r="E197" s="994">
        <f>SUM(F197+K197)</f>
        <v>53957.25</v>
      </c>
      <c r="F197" s="993">
        <v>53957.25</v>
      </c>
      <c r="G197" s="993">
        <v>40000</v>
      </c>
      <c r="H197" s="993"/>
      <c r="I197" s="993"/>
      <c r="J197" s="993"/>
      <c r="K197" s="993"/>
      <c r="L197" s="1019">
        <f>E197/D197</f>
        <v>0.7599612676056338</v>
      </c>
    </row>
    <row r="198" spans="1:12" ht="12.75" thickTop="1">
      <c r="A198" s="990"/>
      <c r="B198" s="1050"/>
      <c r="C198" s="1050"/>
      <c r="D198" s="1051"/>
      <c r="E198" s="1051"/>
      <c r="F198" s="1051"/>
      <c r="G198" s="1051"/>
      <c r="H198" s="1051"/>
      <c r="I198" s="1051"/>
      <c r="J198" s="1051"/>
      <c r="K198" s="1051"/>
      <c r="L198" s="983"/>
    </row>
    <row r="199" spans="1:12" ht="12">
      <c r="A199" s="13">
        <v>926</v>
      </c>
      <c r="B199" s="1013"/>
      <c r="C199" s="976" t="s">
        <v>523</v>
      </c>
      <c r="D199" s="977">
        <f aca="true" t="shared" si="41" ref="D199:K199">SUM(D201:D204)</f>
        <v>3608783</v>
      </c>
      <c r="E199" s="977">
        <f t="shared" si="41"/>
        <v>2723201.26</v>
      </c>
      <c r="F199" s="977">
        <f t="shared" si="41"/>
        <v>2719857.01</v>
      </c>
      <c r="G199" s="977">
        <f t="shared" si="41"/>
        <v>834000</v>
      </c>
      <c r="H199" s="977">
        <f t="shared" si="41"/>
        <v>865820.76</v>
      </c>
      <c r="I199" s="977">
        <f t="shared" si="41"/>
        <v>0</v>
      </c>
      <c r="J199" s="977">
        <f t="shared" si="41"/>
        <v>0</v>
      </c>
      <c r="K199" s="977">
        <f t="shared" si="41"/>
        <v>3344.25</v>
      </c>
      <c r="L199" s="979">
        <f>E199/D199</f>
        <v>0.7546037708557151</v>
      </c>
    </row>
    <row r="200" spans="1:12" ht="3" customHeight="1">
      <c r="A200" s="13"/>
      <c r="B200" s="14"/>
      <c r="C200" s="15"/>
      <c r="D200" s="981"/>
      <c r="E200" s="981"/>
      <c r="F200" s="981"/>
      <c r="G200" s="981"/>
      <c r="H200" s="981"/>
      <c r="I200" s="981"/>
      <c r="J200" s="981"/>
      <c r="K200" s="981"/>
      <c r="L200" s="1038"/>
    </row>
    <row r="201" spans="1:13" s="991" customFormat="1" ht="14.25" customHeight="1">
      <c r="A201" s="13"/>
      <c r="B201" s="14">
        <v>92601</v>
      </c>
      <c r="C201" s="15" t="s">
        <v>571</v>
      </c>
      <c r="D201" s="981">
        <f>225500-200000</f>
        <v>25500</v>
      </c>
      <c r="E201" s="981">
        <f>SUM(F201+K201)</f>
        <v>505.31</v>
      </c>
      <c r="F201" s="981">
        <f>505.31-K201</f>
        <v>483.06</v>
      </c>
      <c r="G201" s="981"/>
      <c r="H201" s="1052"/>
      <c r="I201" s="981"/>
      <c r="J201" s="981"/>
      <c r="K201" s="981">
        <v>22.25</v>
      </c>
      <c r="L201" s="983">
        <f>E201/D201</f>
        <v>0.01981607843137255</v>
      </c>
      <c r="M201" s="958"/>
    </row>
    <row r="202" spans="1:13" s="991" customFormat="1" ht="12" customHeight="1">
      <c r="A202" s="13"/>
      <c r="B202" s="14">
        <v>92604</v>
      </c>
      <c r="C202" s="15" t="s">
        <v>572</v>
      </c>
      <c r="D202" s="981">
        <v>2392483</v>
      </c>
      <c r="E202" s="981">
        <f>SUM(F202+K202)</f>
        <v>1828601.38</v>
      </c>
      <c r="F202" s="981">
        <f>1828601.38-K202</f>
        <v>1825279.38</v>
      </c>
      <c r="G202" s="981"/>
      <c r="H202" s="1052">
        <f>638248.38+58954.29+112424.6+17542.69+38650.8</f>
        <v>865820.76</v>
      </c>
      <c r="I202" s="981"/>
      <c r="J202" s="981"/>
      <c r="K202" s="981">
        <f>3322</f>
        <v>3322</v>
      </c>
      <c r="L202" s="983">
        <f>E202/D202</f>
        <v>0.7643111278115664</v>
      </c>
      <c r="M202" s="958"/>
    </row>
    <row r="203" spans="1:12" ht="12">
      <c r="A203" s="13"/>
      <c r="B203" s="14">
        <v>92605</v>
      </c>
      <c r="C203" s="15" t="s">
        <v>573</v>
      </c>
      <c r="D203" s="981">
        <v>1153800</v>
      </c>
      <c r="E203" s="981">
        <f>SUM(F203+K203)</f>
        <v>870900</v>
      </c>
      <c r="F203" s="981">
        <v>870900</v>
      </c>
      <c r="G203" s="981">
        <v>834000</v>
      </c>
      <c r="H203" s="981"/>
      <c r="I203" s="981"/>
      <c r="J203" s="981"/>
      <c r="K203" s="981"/>
      <c r="L203" s="983">
        <f>E203/D203</f>
        <v>0.7548101924076963</v>
      </c>
    </row>
    <row r="204" spans="1:12" ht="12" customHeight="1" thickBot="1">
      <c r="A204" s="13"/>
      <c r="B204" s="14">
        <v>92695</v>
      </c>
      <c r="C204" s="15" t="s">
        <v>49</v>
      </c>
      <c r="D204" s="981">
        <v>37000</v>
      </c>
      <c r="E204" s="1031">
        <f>SUM(F204+K204)</f>
        <v>23194.57</v>
      </c>
      <c r="F204" s="981">
        <v>23194.57</v>
      </c>
      <c r="G204" s="981"/>
      <c r="H204" s="981"/>
      <c r="I204" s="981"/>
      <c r="J204" s="981"/>
      <c r="K204" s="981"/>
      <c r="L204" s="1033">
        <f>E204/D204</f>
        <v>0.6268802702702703</v>
      </c>
    </row>
    <row r="205" spans="1:12" ht="3.75" customHeight="1">
      <c r="A205" s="1053" t="s">
        <v>194</v>
      </c>
      <c r="B205" s="1054"/>
      <c r="C205" s="1054"/>
      <c r="D205" s="1055"/>
      <c r="E205" s="1055"/>
      <c r="F205" s="1055"/>
      <c r="G205" s="1055"/>
      <c r="H205" s="1055"/>
      <c r="I205" s="1055"/>
      <c r="J205" s="1055"/>
      <c r="K205" s="1081"/>
      <c r="L205" s="974"/>
    </row>
    <row r="206" spans="1:13" s="1061" customFormat="1" ht="13.5" thickBot="1">
      <c r="A206" s="1057"/>
      <c r="B206" s="1058"/>
      <c r="C206" s="1058" t="s">
        <v>135</v>
      </c>
      <c r="D206" s="997">
        <f>D199+D192+D180+D171+D166+D150+D144+D132+D127+D122+D117+D106+D97+D91+D85+D81+D75+D68+D62</f>
        <v>114776700</v>
      </c>
      <c r="E206" s="997">
        <f aca="true" t="shared" si="42" ref="E206:K206">SUM(E62,E68,E75,E81,E85,E91,E97,E106,E117,E122,E127,E132,E144,E150,E166,E171,E180,E192,E199)</f>
        <v>72653192.65</v>
      </c>
      <c r="F206" s="997">
        <f t="shared" si="42"/>
        <v>61309324.39999999</v>
      </c>
      <c r="G206" s="997">
        <f t="shared" si="42"/>
        <v>34254043.54</v>
      </c>
      <c r="H206" s="997">
        <f t="shared" si="42"/>
        <v>9895661.29</v>
      </c>
      <c r="I206" s="997">
        <f t="shared" si="42"/>
        <v>112193.54</v>
      </c>
      <c r="J206" s="997">
        <f t="shared" si="42"/>
        <v>0</v>
      </c>
      <c r="K206" s="1059">
        <f t="shared" si="42"/>
        <v>11343868.250000002</v>
      </c>
      <c r="L206" s="1060">
        <f>E206/D206</f>
        <v>0.6329960057224159</v>
      </c>
      <c r="M206" s="958"/>
    </row>
    <row r="207" spans="1:13" s="1061" customFormat="1" ht="5.25" customHeight="1">
      <c r="A207" s="1062"/>
      <c r="B207" s="1063"/>
      <c r="C207" s="1062"/>
      <c r="D207" s="1064"/>
      <c r="E207" s="1064"/>
      <c r="F207" s="1064"/>
      <c r="G207" s="1064"/>
      <c r="H207" s="1064"/>
      <c r="I207" s="1064"/>
      <c r="J207" s="1064"/>
      <c r="K207" s="1064"/>
      <c r="L207" s="1065"/>
      <c r="M207" s="958"/>
    </row>
    <row r="208" spans="1:13" s="1061" customFormat="1" ht="29.25" customHeight="1">
      <c r="A208" s="1420" t="s">
        <v>574</v>
      </c>
      <c r="B208" s="1420"/>
      <c r="C208" s="1420"/>
      <c r="D208" s="1420"/>
      <c r="E208" s="1420"/>
      <c r="F208" s="1420"/>
      <c r="G208" s="1420"/>
      <c r="H208" s="1420"/>
      <c r="I208" s="1420"/>
      <c r="J208" s="1420"/>
      <c r="K208" s="1420"/>
      <c r="L208" s="958"/>
      <c r="M208" s="958"/>
    </row>
    <row r="209" spans="1:13" s="1061" customFormat="1" ht="15">
      <c r="A209" s="1002"/>
      <c r="B209" s="1421" t="s">
        <v>575</v>
      </c>
      <c r="C209" s="1421"/>
      <c r="D209" s="1421"/>
      <c r="E209" s="1421"/>
      <c r="F209" s="1421"/>
      <c r="G209" s="1421"/>
      <c r="H209" s="1421"/>
      <c r="I209" s="1066"/>
      <c r="J209" s="1066"/>
      <c r="K209" s="1066"/>
      <c r="L209" s="958"/>
      <c r="M209" s="958"/>
    </row>
    <row r="210" spans="1:12" ht="15" customHeight="1">
      <c r="A210" s="1397"/>
      <c r="B210" s="1397"/>
      <c r="C210" s="1397"/>
      <c r="D210" s="1397"/>
      <c r="E210" s="1397"/>
      <c r="F210" s="1397"/>
      <c r="G210" s="1397"/>
      <c r="H210" s="1397"/>
      <c r="I210" s="1397"/>
      <c r="J210" s="1397"/>
      <c r="K210" s="1397"/>
      <c r="L210" s="1003"/>
    </row>
    <row r="211" spans="1:13" s="1061" customFormat="1" ht="12.75" customHeight="1" thickBot="1">
      <c r="A211" s="1067"/>
      <c r="B211" s="1067"/>
      <c r="C211" s="1067"/>
      <c r="D211" s="1068"/>
      <c r="E211" s="1068"/>
      <c r="F211" s="1068"/>
      <c r="G211" s="1068"/>
      <c r="H211" s="1068"/>
      <c r="I211" s="1068"/>
      <c r="J211" s="1068"/>
      <c r="K211" s="1006" t="s">
        <v>0</v>
      </c>
      <c r="L211" s="958"/>
      <c r="M211" s="958"/>
    </row>
    <row r="212" spans="1:13" s="963" customFormat="1" ht="12" customHeight="1">
      <c r="A212" s="1406" t="s">
        <v>1</v>
      </c>
      <c r="B212" s="1409" t="s">
        <v>25</v>
      </c>
      <c r="C212" s="1412" t="s">
        <v>27</v>
      </c>
      <c r="D212" s="1415" t="s">
        <v>3</v>
      </c>
      <c r="E212" s="1415" t="s">
        <v>199</v>
      </c>
      <c r="F212" s="1417" t="s">
        <v>4</v>
      </c>
      <c r="G212" s="1418"/>
      <c r="H212" s="1418"/>
      <c r="I212" s="1418"/>
      <c r="J212" s="1418"/>
      <c r="K212" s="1419"/>
      <c r="L212" s="1400" t="s">
        <v>669</v>
      </c>
      <c r="M212" s="958"/>
    </row>
    <row r="213" spans="1:12" ht="12" customHeight="1">
      <c r="A213" s="1407"/>
      <c r="B213" s="1410"/>
      <c r="C213" s="1413"/>
      <c r="D213" s="1416"/>
      <c r="E213" s="1416"/>
      <c r="F213" s="1403" t="s">
        <v>497</v>
      </c>
      <c r="G213" s="1405" t="s">
        <v>185</v>
      </c>
      <c r="H213" s="1405"/>
      <c r="I213" s="1405"/>
      <c r="J213" s="1405"/>
      <c r="K213" s="1403" t="s">
        <v>498</v>
      </c>
      <c r="L213" s="1401"/>
    </row>
    <row r="214" spans="1:12" ht="36">
      <c r="A214" s="1408"/>
      <c r="B214" s="1411"/>
      <c r="C214" s="1414"/>
      <c r="D214" s="1404"/>
      <c r="E214" s="1404"/>
      <c r="F214" s="1404"/>
      <c r="G214" s="964" t="s">
        <v>499</v>
      </c>
      <c r="H214" s="964" t="s">
        <v>525</v>
      </c>
      <c r="I214" s="964" t="s">
        <v>501</v>
      </c>
      <c r="J214" s="964" t="s">
        <v>502</v>
      </c>
      <c r="K214" s="1404"/>
      <c r="L214" s="1402"/>
    </row>
    <row r="215" spans="1:13" s="1012" customFormat="1" ht="12.75" thickBot="1">
      <c r="A215" s="1069">
        <v>1</v>
      </c>
      <c r="B215" s="1070">
        <v>2</v>
      </c>
      <c r="C215" s="1071">
        <v>3</v>
      </c>
      <c r="D215" s="1070">
        <v>4</v>
      </c>
      <c r="E215" s="1070">
        <v>5</v>
      </c>
      <c r="F215" s="1070">
        <v>6</v>
      </c>
      <c r="G215" s="1070">
        <v>7</v>
      </c>
      <c r="H215" s="1070">
        <v>8</v>
      </c>
      <c r="I215" s="1070">
        <v>9</v>
      </c>
      <c r="J215" s="1070">
        <v>10</v>
      </c>
      <c r="K215" s="1072">
        <v>11</v>
      </c>
      <c r="L215" s="1106">
        <v>12</v>
      </c>
      <c r="M215" s="958"/>
    </row>
    <row r="216" spans="1:12" ht="12">
      <c r="A216" s="24"/>
      <c r="B216" s="15"/>
      <c r="C216" s="15"/>
      <c r="D216" s="981"/>
      <c r="E216" s="981"/>
      <c r="F216" s="981"/>
      <c r="G216" s="981"/>
      <c r="H216" s="981"/>
      <c r="I216" s="981"/>
      <c r="J216" s="981"/>
      <c r="K216" s="981"/>
      <c r="L216" s="1107"/>
    </row>
    <row r="217" spans="1:12" ht="12">
      <c r="A217" s="980" t="s">
        <v>186</v>
      </c>
      <c r="B217" s="1013"/>
      <c r="C217" s="976" t="s">
        <v>187</v>
      </c>
      <c r="D217" s="977">
        <f aca="true" t="shared" si="43" ref="D217:K217">SUM(D219)</f>
        <v>11327.57</v>
      </c>
      <c r="E217" s="977">
        <f t="shared" si="43"/>
        <v>11327.57</v>
      </c>
      <c r="F217" s="977">
        <f t="shared" si="43"/>
        <v>11327.57</v>
      </c>
      <c r="G217" s="977">
        <f t="shared" si="43"/>
        <v>0</v>
      </c>
      <c r="H217" s="977">
        <f t="shared" si="43"/>
        <v>0</v>
      </c>
      <c r="I217" s="977">
        <f t="shared" si="43"/>
        <v>0</v>
      </c>
      <c r="J217" s="977">
        <f t="shared" si="43"/>
        <v>0</v>
      </c>
      <c r="K217" s="977">
        <f t="shared" si="43"/>
        <v>0</v>
      </c>
      <c r="L217" s="979">
        <f>E217/D217</f>
        <v>1</v>
      </c>
    </row>
    <row r="218" spans="1:12" ht="12">
      <c r="A218" s="13"/>
      <c r="B218" s="14"/>
      <c r="C218" s="15"/>
      <c r="D218" s="981"/>
      <c r="E218" s="981"/>
      <c r="F218" s="981"/>
      <c r="G218" s="981"/>
      <c r="H218" s="981"/>
      <c r="I218" s="981"/>
      <c r="J218" s="981"/>
      <c r="K218" s="981"/>
      <c r="L218" s="985"/>
    </row>
    <row r="219" spans="1:12" ht="12.75" thickBot="1">
      <c r="A219" s="992"/>
      <c r="B219" s="1073" t="s">
        <v>189</v>
      </c>
      <c r="C219" s="1074" t="s">
        <v>49</v>
      </c>
      <c r="D219" s="993">
        <f>11105.46+222.11</f>
        <v>11327.57</v>
      </c>
      <c r="E219" s="993">
        <f>SUM(F219+K219)</f>
        <v>11327.57</v>
      </c>
      <c r="F219" s="1075">
        <f>11105.46+222.11</f>
        <v>11327.57</v>
      </c>
      <c r="G219" s="1075"/>
      <c r="H219" s="1075"/>
      <c r="I219" s="1075"/>
      <c r="J219" s="1075"/>
      <c r="K219" s="1075"/>
      <c r="L219" s="1019">
        <f>E219/D219</f>
        <v>1</v>
      </c>
    </row>
    <row r="220" spans="1:12" ht="12.75" thickTop="1">
      <c r="A220" s="24"/>
      <c r="B220" s="15"/>
      <c r="C220" s="15"/>
      <c r="D220" s="981"/>
      <c r="E220" s="981"/>
      <c r="F220" s="981"/>
      <c r="G220" s="981"/>
      <c r="H220" s="981"/>
      <c r="I220" s="981"/>
      <c r="J220" s="981"/>
      <c r="K220" s="981"/>
      <c r="L220" s="983"/>
    </row>
    <row r="221" spans="1:12" ht="12">
      <c r="A221" s="13">
        <v>750</v>
      </c>
      <c r="B221" s="1013"/>
      <c r="C221" s="976" t="s">
        <v>9</v>
      </c>
      <c r="D221" s="981">
        <f aca="true" t="shared" si="44" ref="D221:K221">SUM(D223:D223)</f>
        <v>305000</v>
      </c>
      <c r="E221" s="978">
        <f t="shared" si="44"/>
        <v>223151</v>
      </c>
      <c r="F221" s="977">
        <f t="shared" si="44"/>
        <v>223151</v>
      </c>
      <c r="G221" s="977">
        <f t="shared" si="44"/>
        <v>0</v>
      </c>
      <c r="H221" s="977">
        <f t="shared" si="44"/>
        <v>223150.99999999997</v>
      </c>
      <c r="I221" s="977">
        <f t="shared" si="44"/>
        <v>0</v>
      </c>
      <c r="J221" s="977">
        <f t="shared" si="44"/>
        <v>0</v>
      </c>
      <c r="K221" s="977">
        <f t="shared" si="44"/>
        <v>0</v>
      </c>
      <c r="L221" s="979">
        <f>E221/D221</f>
        <v>0.7316426229508197</v>
      </c>
    </row>
    <row r="222" spans="1:12" ht="12">
      <c r="A222" s="13"/>
      <c r="B222" s="14"/>
      <c r="C222" s="15"/>
      <c r="D222" s="989"/>
      <c r="E222" s="981"/>
      <c r="F222" s="981"/>
      <c r="G222" s="981"/>
      <c r="H222" s="981"/>
      <c r="I222" s="981"/>
      <c r="J222" s="981"/>
      <c r="K222" s="981"/>
      <c r="L222" s="985"/>
    </row>
    <row r="223" spans="1:12" ht="12.75" thickBot="1">
      <c r="A223" s="1027"/>
      <c r="B223" s="1025">
        <v>75011</v>
      </c>
      <c r="C223" s="1018" t="s">
        <v>43</v>
      </c>
      <c r="D223" s="994">
        <v>305000</v>
      </c>
      <c r="E223" s="993">
        <f>SUM(F223+K223)</f>
        <v>223151</v>
      </c>
      <c r="F223" s="993">
        <v>223151</v>
      </c>
      <c r="G223" s="993"/>
      <c r="H223" s="993">
        <f>204225.52+16168.55+2756.93</f>
        <v>223150.99999999997</v>
      </c>
      <c r="I223" s="993"/>
      <c r="J223" s="993"/>
      <c r="K223" s="993"/>
      <c r="L223" s="1019">
        <f>E223/D223</f>
        <v>0.7316426229508197</v>
      </c>
    </row>
    <row r="224" spans="1:12" ht="12.75" thickTop="1">
      <c r="A224" s="13"/>
      <c r="B224" s="14"/>
      <c r="C224" s="15"/>
      <c r="D224" s="981"/>
      <c r="E224" s="981"/>
      <c r="F224" s="981"/>
      <c r="G224" s="981"/>
      <c r="H224" s="981"/>
      <c r="I224" s="981"/>
      <c r="J224" s="981"/>
      <c r="K224" s="981"/>
      <c r="L224" s="983"/>
    </row>
    <row r="225" spans="1:12" ht="12" customHeight="1">
      <c r="A225" s="13">
        <v>751</v>
      </c>
      <c r="B225" s="14"/>
      <c r="C225" s="15" t="s">
        <v>576</v>
      </c>
      <c r="D225" s="981"/>
      <c r="E225" s="981"/>
      <c r="F225" s="981"/>
      <c r="G225" s="981"/>
      <c r="H225" s="981"/>
      <c r="I225" s="981"/>
      <c r="J225" s="981"/>
      <c r="K225" s="981"/>
      <c r="L225" s="983"/>
    </row>
    <row r="226" spans="1:12" ht="12">
      <c r="A226" s="13"/>
      <c r="B226" s="14"/>
      <c r="C226" s="15" t="s">
        <v>577</v>
      </c>
      <c r="D226" s="981"/>
      <c r="E226" s="981"/>
      <c r="F226" s="981"/>
      <c r="G226" s="981"/>
      <c r="H226" s="981"/>
      <c r="I226" s="981"/>
      <c r="J226" s="981"/>
      <c r="K226" s="981"/>
      <c r="L226" s="983"/>
    </row>
    <row r="227" spans="1:13" s="1061" customFormat="1" ht="12">
      <c r="A227" s="13"/>
      <c r="B227" s="1013"/>
      <c r="C227" s="976" t="s">
        <v>510</v>
      </c>
      <c r="D227" s="977">
        <f aca="true" t="shared" si="45" ref="D227:J227">D229+D230</f>
        <v>53320</v>
      </c>
      <c r="E227" s="977">
        <f t="shared" si="45"/>
        <v>49776.25</v>
      </c>
      <c r="F227" s="977">
        <f t="shared" si="45"/>
        <v>49776.25</v>
      </c>
      <c r="G227" s="977">
        <f t="shared" si="45"/>
        <v>0</v>
      </c>
      <c r="H227" s="977">
        <f t="shared" si="45"/>
        <v>12996.51</v>
      </c>
      <c r="I227" s="977">
        <f t="shared" si="45"/>
        <v>0</v>
      </c>
      <c r="J227" s="977">
        <f t="shared" si="45"/>
        <v>0</v>
      </c>
      <c r="K227" s="977"/>
      <c r="L227" s="979">
        <f>E227/D227</f>
        <v>0.9335380720180045</v>
      </c>
      <c r="M227" s="958"/>
    </row>
    <row r="228" spans="1:12" ht="16.5" customHeight="1">
      <c r="A228" s="13"/>
      <c r="B228" s="1049">
        <v>75101</v>
      </c>
      <c r="C228" s="987" t="s">
        <v>140</v>
      </c>
      <c r="D228" s="989"/>
      <c r="E228" s="988"/>
      <c r="F228" s="988"/>
      <c r="G228" s="988"/>
      <c r="H228" s="988"/>
      <c r="I228" s="988"/>
      <c r="J228" s="988"/>
      <c r="K228" s="988"/>
      <c r="L228" s="1076"/>
    </row>
    <row r="229" spans="1:12" ht="12" customHeight="1">
      <c r="A229" s="1021"/>
      <c r="B229" s="23"/>
      <c r="C229" s="15" t="s">
        <v>141</v>
      </c>
      <c r="D229" s="982">
        <v>6720</v>
      </c>
      <c r="E229" s="981">
        <f>SUM(F229+K229)</f>
        <v>3176.25</v>
      </c>
      <c r="F229" s="981">
        <v>3176.25</v>
      </c>
      <c r="G229" s="981"/>
      <c r="H229" s="981">
        <v>3176.25</v>
      </c>
      <c r="I229" s="981"/>
      <c r="J229" s="981"/>
      <c r="K229" s="981"/>
      <c r="L229" s="1077">
        <f>E229/D229</f>
        <v>0.47265625</v>
      </c>
    </row>
    <row r="230" spans="1:12" ht="17.25" customHeight="1" thickBot="1">
      <c r="A230" s="992"/>
      <c r="B230" s="1078">
        <v>75113</v>
      </c>
      <c r="C230" s="1336" t="s">
        <v>535</v>
      </c>
      <c r="D230" s="994">
        <v>46600</v>
      </c>
      <c r="E230" s="994">
        <f>SUM(F230+K230)</f>
        <v>46600</v>
      </c>
      <c r="F230" s="993">
        <v>46600</v>
      </c>
      <c r="G230" s="993"/>
      <c r="H230" s="993">
        <f>724.42+116.84+8979</f>
        <v>9820.26</v>
      </c>
      <c r="I230" s="993"/>
      <c r="J230" s="993"/>
      <c r="K230" s="993"/>
      <c r="L230" s="1079">
        <f>E230/D230</f>
        <v>1</v>
      </c>
    </row>
    <row r="231" spans="1:13" s="1061" customFormat="1" ht="12.75" customHeight="1" thickTop="1">
      <c r="A231" s="13"/>
      <c r="B231" s="14"/>
      <c r="C231" s="15"/>
      <c r="D231" s="981"/>
      <c r="E231" s="981"/>
      <c r="F231" s="981"/>
      <c r="G231" s="981"/>
      <c r="H231" s="981"/>
      <c r="I231" s="981"/>
      <c r="J231" s="981"/>
      <c r="K231" s="981"/>
      <c r="L231" s="983"/>
      <c r="M231" s="958"/>
    </row>
    <row r="232" spans="1:13" s="1061" customFormat="1" ht="12.75" customHeight="1">
      <c r="A232" s="13">
        <v>801</v>
      </c>
      <c r="B232" s="1013"/>
      <c r="C232" s="976" t="s">
        <v>578</v>
      </c>
      <c r="D232" s="977">
        <f aca="true" t="shared" si="46" ref="D232:K232">SUM(D234)</f>
        <v>3808</v>
      </c>
      <c r="E232" s="977">
        <f t="shared" si="46"/>
        <v>3807.1</v>
      </c>
      <c r="F232" s="977">
        <f t="shared" si="46"/>
        <v>3807.1</v>
      </c>
      <c r="G232" s="977">
        <f t="shared" si="46"/>
        <v>3807.1</v>
      </c>
      <c r="H232" s="977">
        <f t="shared" si="46"/>
        <v>0</v>
      </c>
      <c r="I232" s="977">
        <f t="shared" si="46"/>
        <v>0</v>
      </c>
      <c r="J232" s="977">
        <f t="shared" si="46"/>
        <v>0</v>
      </c>
      <c r="K232" s="977">
        <f t="shared" si="46"/>
        <v>0</v>
      </c>
      <c r="L232" s="979">
        <f>E232/D232</f>
        <v>0.9997636554621848</v>
      </c>
      <c r="M232" s="958"/>
    </row>
    <row r="233" spans="1:13" s="1061" customFormat="1" ht="12.75" customHeight="1">
      <c r="A233" s="13"/>
      <c r="B233" s="14"/>
      <c r="C233" s="15"/>
      <c r="D233" s="981"/>
      <c r="E233" s="981"/>
      <c r="F233" s="981"/>
      <c r="G233" s="981"/>
      <c r="H233" s="981"/>
      <c r="I233" s="981"/>
      <c r="J233" s="981"/>
      <c r="K233" s="981"/>
      <c r="L233" s="985"/>
      <c r="M233" s="958"/>
    </row>
    <row r="234" spans="1:13" s="1061" customFormat="1" ht="12.75" customHeight="1" thickBot="1">
      <c r="A234" s="992"/>
      <c r="B234" s="1025">
        <v>80101</v>
      </c>
      <c r="C234" s="1018" t="s">
        <v>111</v>
      </c>
      <c r="D234" s="994">
        <v>3808</v>
      </c>
      <c r="E234" s="993">
        <f>SUM(F234+K234)</f>
        <v>3807.1</v>
      </c>
      <c r="F234" s="993">
        <v>3807.1</v>
      </c>
      <c r="G234" s="993">
        <v>3807.1</v>
      </c>
      <c r="H234" s="993">
        <v>0</v>
      </c>
      <c r="I234" s="993"/>
      <c r="J234" s="993"/>
      <c r="K234" s="993"/>
      <c r="L234" s="1019">
        <f>E234/D234</f>
        <v>0.9997636554621848</v>
      </c>
      <c r="M234" s="958"/>
    </row>
    <row r="235" spans="1:13" s="1061" customFormat="1" ht="12.75" customHeight="1" thickTop="1">
      <c r="A235" s="13"/>
      <c r="B235" s="14"/>
      <c r="C235" s="15"/>
      <c r="D235" s="981"/>
      <c r="E235" s="981"/>
      <c r="F235" s="981"/>
      <c r="G235" s="981"/>
      <c r="H235" s="981"/>
      <c r="I235" s="981"/>
      <c r="J235" s="981"/>
      <c r="K235" s="981"/>
      <c r="L235" s="983"/>
      <c r="M235" s="958"/>
    </row>
    <row r="236" spans="1:13" s="1061" customFormat="1" ht="12.75" customHeight="1">
      <c r="A236" s="13">
        <v>851</v>
      </c>
      <c r="B236" s="1013"/>
      <c r="C236" s="976" t="s">
        <v>19</v>
      </c>
      <c r="D236" s="977">
        <f aca="true" t="shared" si="47" ref="D236:K236">SUM(D238)</f>
        <v>2000</v>
      </c>
      <c r="E236" s="977">
        <f t="shared" si="47"/>
        <v>0</v>
      </c>
      <c r="F236" s="977">
        <f t="shared" si="47"/>
        <v>0</v>
      </c>
      <c r="G236" s="977">
        <f t="shared" si="47"/>
        <v>0</v>
      </c>
      <c r="H236" s="977">
        <f t="shared" si="47"/>
        <v>0</v>
      </c>
      <c r="I236" s="977">
        <f t="shared" si="47"/>
        <v>0</v>
      </c>
      <c r="J236" s="977">
        <f t="shared" si="47"/>
        <v>0</v>
      </c>
      <c r="K236" s="977">
        <f t="shared" si="47"/>
        <v>0</v>
      </c>
      <c r="L236" s="979">
        <f>E236/D236</f>
        <v>0</v>
      </c>
      <c r="M236" s="958"/>
    </row>
    <row r="237" spans="1:13" s="1061" customFormat="1" ht="12.75" customHeight="1">
      <c r="A237" s="13"/>
      <c r="B237" s="14"/>
      <c r="C237" s="15"/>
      <c r="D237" s="981"/>
      <c r="E237" s="981"/>
      <c r="F237" s="981"/>
      <c r="G237" s="981"/>
      <c r="H237" s="981"/>
      <c r="I237" s="981"/>
      <c r="J237" s="981"/>
      <c r="K237" s="981"/>
      <c r="L237" s="985"/>
      <c r="M237" s="958"/>
    </row>
    <row r="238" spans="1:13" s="1061" customFormat="1" ht="12.75" customHeight="1" thickBot="1">
      <c r="A238" s="992"/>
      <c r="B238" s="1025">
        <v>85195</v>
      </c>
      <c r="C238" s="1018" t="s">
        <v>49</v>
      </c>
      <c r="D238" s="994">
        <f>668+116+16+1050+150</f>
        <v>2000</v>
      </c>
      <c r="E238" s="993">
        <f>SUM(F238+K238)</f>
        <v>0</v>
      </c>
      <c r="F238" s="993">
        <v>0</v>
      </c>
      <c r="G238" s="993"/>
      <c r="H238" s="993">
        <v>0</v>
      </c>
      <c r="I238" s="993"/>
      <c r="J238" s="993"/>
      <c r="K238" s="993"/>
      <c r="L238" s="1019">
        <f>E238/D238</f>
        <v>0</v>
      </c>
      <c r="M238" s="958"/>
    </row>
    <row r="239" spans="1:13" s="1061" customFormat="1" ht="12.75" customHeight="1" thickTop="1">
      <c r="A239" s="13"/>
      <c r="B239" s="14"/>
      <c r="C239" s="15"/>
      <c r="D239" s="981"/>
      <c r="E239" s="981"/>
      <c r="F239" s="981"/>
      <c r="G239" s="981"/>
      <c r="H239" s="981"/>
      <c r="I239" s="981"/>
      <c r="J239" s="981"/>
      <c r="K239" s="981"/>
      <c r="L239" s="983"/>
      <c r="M239" s="958"/>
    </row>
    <row r="240" spans="1:12" ht="12" customHeight="1">
      <c r="A240" s="13">
        <v>852</v>
      </c>
      <c r="B240" s="1013"/>
      <c r="C240" s="976" t="s">
        <v>20</v>
      </c>
      <c r="D240" s="978">
        <f aca="true" t="shared" si="48" ref="D240:K240">SUM(D242:D253)</f>
        <v>8686534</v>
      </c>
      <c r="E240" s="978">
        <f t="shared" si="48"/>
        <v>6564452.98</v>
      </c>
      <c r="F240" s="978">
        <f t="shared" si="48"/>
        <v>6564452.98</v>
      </c>
      <c r="G240" s="978">
        <f t="shared" si="48"/>
        <v>131247</v>
      </c>
      <c r="H240" s="978">
        <f t="shared" si="48"/>
        <v>282103.82999999996</v>
      </c>
      <c r="I240" s="978">
        <f t="shared" si="48"/>
        <v>0</v>
      </c>
      <c r="J240" s="978">
        <f t="shared" si="48"/>
        <v>0</v>
      </c>
      <c r="K240" s="977">
        <f t="shared" si="48"/>
        <v>0</v>
      </c>
      <c r="L240" s="979">
        <f>E240/D240</f>
        <v>0.7557045168993756</v>
      </c>
    </row>
    <row r="241" spans="1:12" ht="12">
      <c r="A241" s="13"/>
      <c r="B241" s="14"/>
      <c r="C241" s="15"/>
      <c r="D241" s="981"/>
      <c r="E241" s="981"/>
      <c r="F241" s="981"/>
      <c r="G241" s="981"/>
      <c r="H241" s="981"/>
      <c r="I241" s="981"/>
      <c r="J241" s="981"/>
      <c r="K241" s="981"/>
      <c r="L241" s="985"/>
    </row>
    <row r="242" spans="1:12" ht="12">
      <c r="A242" s="13"/>
      <c r="B242" s="14">
        <v>85203</v>
      </c>
      <c r="C242" s="15" t="s">
        <v>142</v>
      </c>
      <c r="D242" s="981">
        <v>175000</v>
      </c>
      <c r="E242" s="981">
        <f>SUM(F242+K242)</f>
        <v>131247</v>
      </c>
      <c r="F242" s="981">
        <v>131247</v>
      </c>
      <c r="G242" s="981">
        <v>131247</v>
      </c>
      <c r="H242" s="981"/>
      <c r="I242" s="981"/>
      <c r="J242" s="981"/>
      <c r="K242" s="981"/>
      <c r="L242" s="983">
        <f>E242/D242</f>
        <v>0.7499828571428572</v>
      </c>
    </row>
    <row r="243" spans="1:12" ht="12">
      <c r="A243" s="13"/>
      <c r="B243" s="14">
        <v>85212</v>
      </c>
      <c r="C243" s="15" t="s">
        <v>579</v>
      </c>
      <c r="D243" s="981"/>
      <c r="E243" s="981"/>
      <c r="F243" s="981"/>
      <c r="G243" s="981"/>
      <c r="H243" s="981"/>
      <c r="I243" s="981"/>
      <c r="J243" s="981"/>
      <c r="K243" s="981"/>
      <c r="L243" s="983"/>
    </row>
    <row r="244" spans="1:12" ht="12">
      <c r="A244" s="13"/>
      <c r="B244" s="14"/>
      <c r="C244" s="15" t="s">
        <v>580</v>
      </c>
      <c r="D244" s="981"/>
      <c r="E244" s="981"/>
      <c r="F244" s="981"/>
      <c r="G244" s="981"/>
      <c r="H244" s="981"/>
      <c r="I244" s="981"/>
      <c r="J244" s="981"/>
      <c r="K244" s="981"/>
      <c r="L244" s="983"/>
    </row>
    <row r="245" spans="1:12" ht="12">
      <c r="A245" s="13"/>
      <c r="B245" s="14"/>
      <c r="C245" s="15" t="s">
        <v>581</v>
      </c>
      <c r="D245" s="981">
        <v>7750000</v>
      </c>
      <c r="E245" s="981">
        <f>SUM(F245+K245)</f>
        <v>5723713</v>
      </c>
      <c r="F245" s="981">
        <v>5723713</v>
      </c>
      <c r="G245" s="981"/>
      <c r="H245" s="981">
        <f>150136.84+13188.89+24707.24+4000</f>
        <v>192032.96999999997</v>
      </c>
      <c r="I245" s="981"/>
      <c r="J245" s="981"/>
      <c r="K245" s="981"/>
      <c r="L245" s="983">
        <f>E245/D245</f>
        <v>0.7385436129032258</v>
      </c>
    </row>
    <row r="246" spans="1:12" ht="12">
      <c r="A246" s="13"/>
      <c r="B246" s="14">
        <v>85213</v>
      </c>
      <c r="C246" s="1022" t="s">
        <v>552</v>
      </c>
      <c r="D246" s="981"/>
      <c r="E246" s="981"/>
      <c r="F246" s="981"/>
      <c r="G246" s="981"/>
      <c r="H246" s="981"/>
      <c r="I246" s="981"/>
      <c r="J246" s="981"/>
      <c r="K246" s="981"/>
      <c r="L246" s="983"/>
    </row>
    <row r="247" spans="1:12" ht="12">
      <c r="A247" s="13"/>
      <c r="B247" s="14"/>
      <c r="C247" s="1022" t="s">
        <v>553</v>
      </c>
      <c r="D247" s="981"/>
      <c r="E247" s="981"/>
      <c r="F247" s="981"/>
      <c r="G247" s="981"/>
      <c r="H247" s="981"/>
      <c r="I247" s="981"/>
      <c r="J247" s="981"/>
      <c r="K247" s="981"/>
      <c r="L247" s="983"/>
    </row>
    <row r="248" spans="1:12" ht="12">
      <c r="A248" s="13"/>
      <c r="B248" s="14"/>
      <c r="C248" s="1022" t="s">
        <v>554</v>
      </c>
      <c r="D248" s="981"/>
      <c r="E248" s="981"/>
      <c r="F248" s="981"/>
      <c r="G248" s="981"/>
      <c r="H248" s="981"/>
      <c r="I248" s="981"/>
      <c r="J248" s="981"/>
      <c r="K248" s="981"/>
      <c r="L248" s="983"/>
    </row>
    <row r="249" spans="1:12" ht="12">
      <c r="A249" s="13"/>
      <c r="B249" s="14"/>
      <c r="C249" s="1022" t="s">
        <v>555</v>
      </c>
      <c r="D249" s="981">
        <v>60718</v>
      </c>
      <c r="E249" s="981">
        <f>SUM(F249+K249)</f>
        <v>58235</v>
      </c>
      <c r="F249" s="981">
        <v>58235</v>
      </c>
      <c r="G249" s="981"/>
      <c r="H249" s="981"/>
      <c r="I249" s="981"/>
      <c r="J249" s="981"/>
      <c r="K249" s="981"/>
      <c r="L249" s="983">
        <f>E249/D249</f>
        <v>0.9591060311604467</v>
      </c>
    </row>
    <row r="250" spans="1:12" ht="12">
      <c r="A250" s="13"/>
      <c r="B250" s="14">
        <v>85214</v>
      </c>
      <c r="C250" s="15" t="s">
        <v>556</v>
      </c>
      <c r="D250" s="981"/>
      <c r="E250" s="981"/>
      <c r="F250" s="981"/>
      <c r="G250" s="981"/>
      <c r="H250" s="981"/>
      <c r="I250" s="981"/>
      <c r="J250" s="981"/>
      <c r="K250" s="981"/>
      <c r="L250" s="983"/>
    </row>
    <row r="251" spans="1:12" ht="12">
      <c r="A251" s="13"/>
      <c r="B251" s="14"/>
      <c r="C251" s="15" t="s">
        <v>557</v>
      </c>
      <c r="D251" s="981">
        <v>570816</v>
      </c>
      <c r="E251" s="981">
        <f>SUM(F251+K251)</f>
        <v>558275.53</v>
      </c>
      <c r="F251" s="981">
        <v>558275.53</v>
      </c>
      <c r="G251" s="981"/>
      <c r="H251" s="981"/>
      <c r="I251" s="981"/>
      <c r="J251" s="981"/>
      <c r="K251" s="981"/>
      <c r="L251" s="983">
        <f>E251/D251</f>
        <v>0.9780306263314273</v>
      </c>
    </row>
    <row r="252" spans="1:12" ht="12">
      <c r="A252" s="13"/>
      <c r="B252" s="14">
        <v>85228</v>
      </c>
      <c r="C252" s="15" t="s">
        <v>582</v>
      </c>
      <c r="D252" s="981"/>
      <c r="E252" s="981"/>
      <c r="F252" s="981"/>
      <c r="G252" s="981"/>
      <c r="H252" s="981"/>
      <c r="I252" s="981"/>
      <c r="J252" s="981"/>
      <c r="K252" s="981"/>
      <c r="L252" s="983"/>
    </row>
    <row r="253" spans="1:12" ht="12.75" thickBot="1">
      <c r="A253" s="1028"/>
      <c r="B253" s="1029"/>
      <c r="C253" s="1030" t="s">
        <v>583</v>
      </c>
      <c r="D253" s="1032">
        <v>130000</v>
      </c>
      <c r="E253" s="1032">
        <f>SUM(F253+K253)</f>
        <v>92982.45</v>
      </c>
      <c r="F253" s="1032">
        <v>92982.45</v>
      </c>
      <c r="G253" s="1032"/>
      <c r="H253" s="1032">
        <f>67500+14426.62+1874.24+6270</f>
        <v>90070.86</v>
      </c>
      <c r="I253" s="1032"/>
      <c r="J253" s="1032"/>
      <c r="K253" s="1032"/>
      <c r="L253" s="1033">
        <f>E253/D253</f>
        <v>0.7152496153846154</v>
      </c>
    </row>
    <row r="254" spans="1:12" ht="3.75" customHeight="1">
      <c r="A254" s="1053"/>
      <c r="B254" s="1080"/>
      <c r="C254" s="1080"/>
      <c r="D254" s="1081"/>
      <c r="E254" s="1081"/>
      <c r="F254" s="1081"/>
      <c r="G254" s="1081"/>
      <c r="H254" s="1081"/>
      <c r="I254" s="1081"/>
      <c r="J254" s="1081"/>
      <c r="K254" s="1081"/>
      <c r="L254" s="1056"/>
    </row>
    <row r="255" spans="1:12" ht="12.75">
      <c r="A255" s="8"/>
      <c r="B255" s="1082"/>
      <c r="C255" s="1083" t="s">
        <v>135</v>
      </c>
      <c r="D255" s="1084">
        <f aca="true" t="shared" si="49" ref="D255:K255">SUM(D217+D227+D236+D240)+D221+D232</f>
        <v>9061989.57</v>
      </c>
      <c r="E255" s="1084">
        <f t="shared" si="49"/>
        <v>6852514.9</v>
      </c>
      <c r="F255" s="1084">
        <f t="shared" si="49"/>
        <v>6852514.9</v>
      </c>
      <c r="G255" s="1084">
        <f t="shared" si="49"/>
        <v>135054.1</v>
      </c>
      <c r="H255" s="1084">
        <f t="shared" si="49"/>
        <v>518251.33999999997</v>
      </c>
      <c r="I255" s="1084">
        <f t="shared" si="49"/>
        <v>0</v>
      </c>
      <c r="J255" s="1084">
        <f t="shared" si="49"/>
        <v>0</v>
      </c>
      <c r="K255" s="1084">
        <f t="shared" si="49"/>
        <v>0</v>
      </c>
      <c r="L255" s="1085">
        <f>E255/D255</f>
        <v>0.7561821658552185</v>
      </c>
    </row>
    <row r="256" spans="1:12" ht="7.5" customHeight="1" thickBot="1">
      <c r="A256" s="1086"/>
      <c r="B256" s="1030"/>
      <c r="C256" s="1030"/>
      <c r="D256" s="1032"/>
      <c r="E256" s="1032"/>
      <c r="F256" s="1032"/>
      <c r="G256" s="1032"/>
      <c r="H256" s="1032"/>
      <c r="I256" s="1032"/>
      <c r="J256" s="1032"/>
      <c r="K256" s="1032"/>
      <c r="L256" s="1087"/>
    </row>
    <row r="257" spans="1:13" s="1048" customFormat="1" ht="39" customHeight="1">
      <c r="A257" s="1425" t="s">
        <v>584</v>
      </c>
      <c r="B257" s="1425"/>
      <c r="C257" s="1425"/>
      <c r="D257" s="1425"/>
      <c r="E257" s="1425"/>
      <c r="F257" s="1425"/>
      <c r="G257" s="1425"/>
      <c r="H257" s="1425"/>
      <c r="I257" s="1425"/>
      <c r="J257" s="1425"/>
      <c r="K257" s="1425"/>
      <c r="L257" s="1024"/>
      <c r="M257" s="1024"/>
    </row>
    <row r="258" spans="1:12" ht="12">
      <c r="A258" s="1397"/>
      <c r="B258" s="1397"/>
      <c r="C258" s="1397"/>
      <c r="D258" s="1397"/>
      <c r="E258" s="1397"/>
      <c r="F258" s="1397"/>
      <c r="G258" s="1397"/>
      <c r="H258" s="1397"/>
      <c r="I258" s="1397"/>
      <c r="J258" s="1397"/>
      <c r="K258" s="1397"/>
      <c r="L258" s="1003"/>
    </row>
    <row r="259" spans="1:12" ht="6" customHeight="1" thickBot="1">
      <c r="A259" s="1002"/>
      <c r="B259" s="1002"/>
      <c r="C259" s="1002"/>
      <c r="D259" s="1004"/>
      <c r="E259" s="1004"/>
      <c r="F259" s="1004"/>
      <c r="G259" s="1004"/>
      <c r="H259" s="1004"/>
      <c r="I259" s="1004"/>
      <c r="J259" s="1004"/>
      <c r="K259" s="1004"/>
      <c r="L259" s="1003"/>
    </row>
    <row r="260" spans="1:12" ht="12" customHeight="1">
      <c r="A260" s="1422" t="s">
        <v>1</v>
      </c>
      <c r="B260" s="1409" t="s">
        <v>25</v>
      </c>
      <c r="C260" s="1412" t="s">
        <v>27</v>
      </c>
      <c r="D260" s="1415" t="s">
        <v>3</v>
      </c>
      <c r="E260" s="1415" t="s">
        <v>199</v>
      </c>
      <c r="F260" s="1417" t="s">
        <v>4</v>
      </c>
      <c r="G260" s="1418"/>
      <c r="H260" s="1418"/>
      <c r="I260" s="1418"/>
      <c r="J260" s="1418"/>
      <c r="K260" s="1419"/>
      <c r="L260" s="1400" t="s">
        <v>669</v>
      </c>
    </row>
    <row r="261" spans="1:12" ht="12" customHeight="1">
      <c r="A261" s="1423"/>
      <c r="B261" s="1410"/>
      <c r="C261" s="1413"/>
      <c r="D261" s="1416"/>
      <c r="E261" s="1416"/>
      <c r="F261" s="1403" t="s">
        <v>497</v>
      </c>
      <c r="G261" s="1405" t="s">
        <v>185</v>
      </c>
      <c r="H261" s="1405"/>
      <c r="I261" s="1405"/>
      <c r="J261" s="1405"/>
      <c r="K261" s="1403" t="s">
        <v>498</v>
      </c>
      <c r="L261" s="1401"/>
    </row>
    <row r="262" spans="1:12" ht="36">
      <c r="A262" s="1424"/>
      <c r="B262" s="1411"/>
      <c r="C262" s="1414"/>
      <c r="D262" s="1404"/>
      <c r="E262" s="1404"/>
      <c r="F262" s="1404"/>
      <c r="G262" s="964" t="s">
        <v>499</v>
      </c>
      <c r="H262" s="964" t="s">
        <v>525</v>
      </c>
      <c r="I262" s="964" t="s">
        <v>501</v>
      </c>
      <c r="J262" s="964" t="s">
        <v>502</v>
      </c>
      <c r="K262" s="1404"/>
      <c r="L262" s="1402"/>
    </row>
    <row r="263" spans="1:12" ht="12.75" thickBot="1">
      <c r="A263" s="1088">
        <v>1</v>
      </c>
      <c r="B263" s="1138">
        <v>2</v>
      </c>
      <c r="C263" s="1089">
        <v>3</v>
      </c>
      <c r="D263" s="1090">
        <v>4</v>
      </c>
      <c r="E263" s="1090">
        <v>5</v>
      </c>
      <c r="F263" s="1090">
        <v>6</v>
      </c>
      <c r="G263" s="1090">
        <v>7</v>
      </c>
      <c r="H263" s="1090">
        <v>8</v>
      </c>
      <c r="I263" s="1090">
        <v>9</v>
      </c>
      <c r="J263" s="1090">
        <v>10</v>
      </c>
      <c r="K263" s="1091">
        <v>11</v>
      </c>
      <c r="L263" s="1092">
        <v>12</v>
      </c>
    </row>
    <row r="264" spans="1:12" ht="12">
      <c r="A264" s="13"/>
      <c r="B264" s="23"/>
      <c r="C264" s="15"/>
      <c r="D264" s="981"/>
      <c r="E264" s="981"/>
      <c r="F264" s="981"/>
      <c r="G264" s="981"/>
      <c r="H264" s="981"/>
      <c r="I264" s="981"/>
      <c r="J264" s="981"/>
      <c r="K264" s="982"/>
      <c r="L264" s="1093"/>
    </row>
    <row r="265" spans="1:12" ht="12">
      <c r="A265" s="13">
        <v>600</v>
      </c>
      <c r="B265" s="1039"/>
      <c r="C265" s="976" t="s">
        <v>7</v>
      </c>
      <c r="D265" s="978">
        <f aca="true" t="shared" si="50" ref="D265:K265">SUM(D267:D268)</f>
        <v>7190000</v>
      </c>
      <c r="E265" s="978">
        <f t="shared" si="50"/>
        <v>2835488.33</v>
      </c>
      <c r="F265" s="978">
        <f t="shared" si="50"/>
        <v>201196.7</v>
      </c>
      <c r="G265" s="978">
        <f t="shared" si="50"/>
        <v>0</v>
      </c>
      <c r="H265" s="978">
        <f t="shared" si="50"/>
        <v>0</v>
      </c>
      <c r="I265" s="978">
        <f t="shared" si="50"/>
        <v>0</v>
      </c>
      <c r="J265" s="978">
        <f t="shared" si="50"/>
        <v>0</v>
      </c>
      <c r="K265" s="978">
        <f t="shared" si="50"/>
        <v>2634291.63</v>
      </c>
      <c r="L265" s="1094">
        <f>E265/D265</f>
        <v>0.3943655535465925</v>
      </c>
    </row>
    <row r="266" spans="1:12" ht="12">
      <c r="A266" s="13"/>
      <c r="B266" s="1108"/>
      <c r="C266" s="1048"/>
      <c r="D266" s="989"/>
      <c r="E266" s="1024"/>
      <c r="F266" s="989"/>
      <c r="G266" s="981"/>
      <c r="H266" s="981"/>
      <c r="I266" s="981"/>
      <c r="J266" s="981"/>
      <c r="K266" s="982"/>
      <c r="L266" s="1095"/>
    </row>
    <row r="267" spans="1:12" ht="12">
      <c r="A267" s="13"/>
      <c r="B267" s="23">
        <v>60013</v>
      </c>
      <c r="C267" s="15" t="s">
        <v>146</v>
      </c>
      <c r="D267" s="981">
        <f>2080000-590000</f>
        <v>1490000</v>
      </c>
      <c r="E267" s="981">
        <f>SUM(F267+K267)</f>
        <v>0</v>
      </c>
      <c r="F267" s="981"/>
      <c r="G267" s="981"/>
      <c r="H267" s="981"/>
      <c r="I267" s="981"/>
      <c r="J267" s="981"/>
      <c r="K267" s="982">
        <v>0</v>
      </c>
      <c r="L267" s="1096">
        <f>E267/D267</f>
        <v>0</v>
      </c>
    </row>
    <row r="268" spans="1:13" s="991" customFormat="1" ht="13.5" thickBot="1">
      <c r="A268" s="992"/>
      <c r="B268" s="1109">
        <v>60014</v>
      </c>
      <c r="C268" s="1097" t="s">
        <v>147</v>
      </c>
      <c r="D268" s="994">
        <f>5900000-200000</f>
        <v>5700000</v>
      </c>
      <c r="E268" s="994">
        <f>SUM(F268+K268)</f>
        <v>2835488.33</v>
      </c>
      <c r="F268" s="994">
        <f>2587.52+63609.18+135000</f>
        <v>201196.7</v>
      </c>
      <c r="G268" s="994"/>
      <c r="H268" s="994"/>
      <c r="I268" s="994"/>
      <c r="J268" s="994"/>
      <c r="K268" s="994">
        <v>2634291.63</v>
      </c>
      <c r="L268" s="1019">
        <f>E268/D268</f>
        <v>0.49745409298245613</v>
      </c>
      <c r="M268" s="958"/>
    </row>
    <row r="269" spans="1:13" s="991" customFormat="1" ht="25.5" customHeight="1" thickTop="1">
      <c r="A269" s="13">
        <v>853</v>
      </c>
      <c r="B269" s="1112"/>
      <c r="C269" s="1098" t="s">
        <v>585</v>
      </c>
      <c r="D269" s="1099">
        <f aca="true" t="shared" si="51" ref="D269:K269">D270</f>
        <v>85000</v>
      </c>
      <c r="E269" s="1099">
        <f t="shared" si="51"/>
        <v>75000</v>
      </c>
      <c r="F269" s="1100">
        <f t="shared" si="51"/>
        <v>75000</v>
      </c>
      <c r="G269" s="1100">
        <f t="shared" si="51"/>
        <v>75000</v>
      </c>
      <c r="H269" s="1100">
        <f t="shared" si="51"/>
        <v>0</v>
      </c>
      <c r="I269" s="1100">
        <f t="shared" si="51"/>
        <v>0</v>
      </c>
      <c r="J269" s="1100">
        <f t="shared" si="51"/>
        <v>0</v>
      </c>
      <c r="K269" s="1099">
        <f t="shared" si="51"/>
        <v>0</v>
      </c>
      <c r="L269" s="1094">
        <f>E269/D269</f>
        <v>0.8823529411764706</v>
      </c>
      <c r="M269" s="958"/>
    </row>
    <row r="270" spans="1:12" ht="21" customHeight="1" thickBot="1">
      <c r="A270" s="13"/>
      <c r="B270" s="23">
        <v>85395</v>
      </c>
      <c r="C270" s="15" t="s">
        <v>49</v>
      </c>
      <c r="D270" s="982">
        <v>85000</v>
      </c>
      <c r="E270" s="982">
        <f>SUM(F270+K270)</f>
        <v>75000</v>
      </c>
      <c r="F270" s="981">
        <v>75000</v>
      </c>
      <c r="G270" s="981">
        <v>75000</v>
      </c>
      <c r="H270" s="981">
        <v>0</v>
      </c>
      <c r="I270" s="981"/>
      <c r="J270" s="981"/>
      <c r="K270" s="982"/>
      <c r="L270" s="1101">
        <f>E270/D270</f>
        <v>0.8823529411764706</v>
      </c>
    </row>
    <row r="271" spans="1:12" ht="3.75" customHeight="1">
      <c r="A271" s="1053" t="s">
        <v>194</v>
      </c>
      <c r="B271" s="1054"/>
      <c r="C271" s="1102"/>
      <c r="D271" s="1081"/>
      <c r="E271" s="1081"/>
      <c r="F271" s="1081"/>
      <c r="G271" s="1081"/>
      <c r="H271" s="1081"/>
      <c r="I271" s="1081"/>
      <c r="J271" s="1081"/>
      <c r="K271" s="1055"/>
      <c r="L271" s="1096"/>
    </row>
    <row r="272" spans="1:12" ht="13.5" customHeight="1" thickBot="1">
      <c r="A272" s="1057"/>
      <c r="B272" s="1058"/>
      <c r="C272" s="1103" t="s">
        <v>135</v>
      </c>
      <c r="D272" s="1059">
        <f aca="true" t="shared" si="52" ref="D272:K272">SUM(D265)+D269</f>
        <v>7275000</v>
      </c>
      <c r="E272" s="1059">
        <f t="shared" si="52"/>
        <v>2910488.33</v>
      </c>
      <c r="F272" s="1059">
        <f t="shared" si="52"/>
        <v>276196.7</v>
      </c>
      <c r="G272" s="1059">
        <f t="shared" si="52"/>
        <v>75000</v>
      </c>
      <c r="H272" s="1059">
        <f t="shared" si="52"/>
        <v>0</v>
      </c>
      <c r="I272" s="1059">
        <f t="shared" si="52"/>
        <v>0</v>
      </c>
      <c r="J272" s="1059">
        <f t="shared" si="52"/>
        <v>0</v>
      </c>
      <c r="K272" s="997">
        <f t="shared" si="52"/>
        <v>2634291.63</v>
      </c>
      <c r="L272" s="1104">
        <f>E272/D272</f>
        <v>0.40006712439862546</v>
      </c>
    </row>
    <row r="273" spans="1:12" ht="3.75" customHeight="1">
      <c r="A273" s="1048"/>
      <c r="B273" s="1048"/>
      <c r="C273" s="1048"/>
      <c r="D273" s="1024"/>
      <c r="E273" s="1024"/>
      <c r="F273" s="1024"/>
      <c r="G273" s="1024"/>
      <c r="H273" s="1024"/>
      <c r="I273" s="1024"/>
      <c r="J273" s="1024"/>
      <c r="K273" s="1024"/>
      <c r="L273" s="1024"/>
    </row>
    <row r="274" ht="12.75" customHeight="1"/>
    <row r="275" spans="1:13" s="1061" customFormat="1" ht="15">
      <c r="A275" s="1420" t="s">
        <v>586</v>
      </c>
      <c r="B275" s="1420"/>
      <c r="C275" s="1420"/>
      <c r="D275" s="1420"/>
      <c r="E275" s="1420"/>
      <c r="F275" s="1420"/>
      <c r="G275" s="1420"/>
      <c r="H275" s="1420"/>
      <c r="I275" s="1420"/>
      <c r="J275" s="1420"/>
      <c r="K275" s="1420"/>
      <c r="L275" s="958"/>
      <c r="M275" s="958"/>
    </row>
    <row r="276" spans="1:12" ht="12.75" customHeight="1">
      <c r="A276" s="1397"/>
      <c r="B276" s="1397"/>
      <c r="C276" s="1397"/>
      <c r="D276" s="1397"/>
      <c r="E276" s="1397"/>
      <c r="F276" s="1397"/>
      <c r="G276" s="1397"/>
      <c r="H276" s="1397"/>
      <c r="I276" s="1397"/>
      <c r="J276" s="1397"/>
      <c r="K276" s="1397"/>
      <c r="L276" s="1003"/>
    </row>
    <row r="277" spans="1:12" ht="6" customHeight="1" thickBot="1">
      <c r="A277" s="1002"/>
      <c r="B277" s="1002"/>
      <c r="C277" s="1002"/>
      <c r="D277" s="1004"/>
      <c r="E277" s="1004"/>
      <c r="F277" s="1004"/>
      <c r="G277" s="1004"/>
      <c r="H277" s="1004"/>
      <c r="I277" s="1004"/>
      <c r="J277" s="1004"/>
      <c r="K277" s="1004"/>
      <c r="L277" s="1003"/>
    </row>
    <row r="278" spans="1:13" s="1061" customFormat="1" ht="12.75" customHeight="1">
      <c r="A278" s="1406" t="s">
        <v>1</v>
      </c>
      <c r="B278" s="1409" t="s">
        <v>25</v>
      </c>
      <c r="C278" s="1412" t="s">
        <v>27</v>
      </c>
      <c r="D278" s="1415" t="s">
        <v>3</v>
      </c>
      <c r="E278" s="1415" t="s">
        <v>199</v>
      </c>
      <c r="F278" s="1417" t="s">
        <v>4</v>
      </c>
      <c r="G278" s="1418"/>
      <c r="H278" s="1418"/>
      <c r="I278" s="1418"/>
      <c r="J278" s="1418"/>
      <c r="K278" s="1419"/>
      <c r="L278" s="1400" t="s">
        <v>669</v>
      </c>
      <c r="M278" s="958"/>
    </row>
    <row r="279" spans="1:13" s="963" customFormat="1" ht="12" customHeight="1">
      <c r="A279" s="1407"/>
      <c r="B279" s="1410"/>
      <c r="C279" s="1413"/>
      <c r="D279" s="1416"/>
      <c r="E279" s="1416"/>
      <c r="F279" s="1403" t="s">
        <v>497</v>
      </c>
      <c r="G279" s="1405" t="s">
        <v>185</v>
      </c>
      <c r="H279" s="1405"/>
      <c r="I279" s="1405"/>
      <c r="J279" s="1405"/>
      <c r="K279" s="1403" t="s">
        <v>498</v>
      </c>
      <c r="L279" s="1401"/>
      <c r="M279" s="958"/>
    </row>
    <row r="280" spans="1:12" ht="36">
      <c r="A280" s="1408"/>
      <c r="B280" s="1411"/>
      <c r="C280" s="1414"/>
      <c r="D280" s="1404"/>
      <c r="E280" s="1404"/>
      <c r="F280" s="1404"/>
      <c r="G280" s="964" t="s">
        <v>499</v>
      </c>
      <c r="H280" s="964" t="s">
        <v>525</v>
      </c>
      <c r="I280" s="964" t="s">
        <v>501</v>
      </c>
      <c r="J280" s="964" t="s">
        <v>502</v>
      </c>
      <c r="K280" s="1404"/>
      <c r="L280" s="1402"/>
    </row>
    <row r="281" spans="1:12" ht="12.75" thickBot="1">
      <c r="A281" s="965">
        <v>1</v>
      </c>
      <c r="B281" s="1105">
        <v>2</v>
      </c>
      <c r="C281" s="966">
        <v>3</v>
      </c>
      <c r="D281" s="967">
        <v>4</v>
      </c>
      <c r="E281" s="967">
        <v>5</v>
      </c>
      <c r="F281" s="967">
        <v>6</v>
      </c>
      <c r="G281" s="967">
        <v>7</v>
      </c>
      <c r="H281" s="967">
        <v>8</v>
      </c>
      <c r="I281" s="967">
        <v>9</v>
      </c>
      <c r="J281" s="967">
        <v>10</v>
      </c>
      <c r="K281" s="968">
        <v>11</v>
      </c>
      <c r="L281" s="1106">
        <v>12</v>
      </c>
    </row>
    <row r="282" spans="1:12" ht="12">
      <c r="A282" s="13"/>
      <c r="B282" s="14"/>
      <c r="C282" s="15"/>
      <c r="D282" s="981"/>
      <c r="E282" s="981"/>
      <c r="F282" s="981"/>
      <c r="G282" s="981"/>
      <c r="H282" s="981"/>
      <c r="I282" s="981"/>
      <c r="J282" s="981"/>
      <c r="K282" s="981"/>
      <c r="L282" s="1107"/>
    </row>
    <row r="283" spans="1:12" ht="12">
      <c r="A283" s="13">
        <v>600</v>
      </c>
      <c r="B283" s="1013"/>
      <c r="C283" s="976" t="s">
        <v>7</v>
      </c>
      <c r="D283" s="977">
        <f>SUM(D285:D287)</f>
        <v>1090000</v>
      </c>
      <c r="E283" s="977">
        <f aca="true" t="shared" si="53" ref="E283:K283">SUM(E287)</f>
        <v>0</v>
      </c>
      <c r="F283" s="977">
        <f t="shared" si="53"/>
        <v>0</v>
      </c>
      <c r="G283" s="977">
        <f t="shared" si="53"/>
        <v>0</v>
      </c>
      <c r="H283" s="977">
        <f t="shared" si="53"/>
        <v>0</v>
      </c>
      <c r="I283" s="977">
        <f t="shared" si="53"/>
        <v>0</v>
      </c>
      <c r="J283" s="977">
        <f t="shared" si="53"/>
        <v>0</v>
      </c>
      <c r="K283" s="977">
        <f t="shared" si="53"/>
        <v>0</v>
      </c>
      <c r="L283" s="979">
        <f>E283/D283</f>
        <v>0</v>
      </c>
    </row>
    <row r="284" spans="1:12" ht="12">
      <c r="A284" s="13"/>
      <c r="B284" s="1108"/>
      <c r="C284" s="1048"/>
      <c r="D284" s="981"/>
      <c r="E284" s="981"/>
      <c r="F284" s="981"/>
      <c r="G284" s="981"/>
      <c r="H284" s="981"/>
      <c r="I284" s="981"/>
      <c r="J284" s="981"/>
      <c r="K284" s="981"/>
      <c r="L284" s="985"/>
    </row>
    <row r="285" spans="1:12" ht="12">
      <c r="A285" s="13"/>
      <c r="B285" s="23">
        <v>60004</v>
      </c>
      <c r="C285" s="1337" t="s">
        <v>190</v>
      </c>
      <c r="D285" s="981">
        <v>300000</v>
      </c>
      <c r="E285" s="981">
        <f>F285+K285</f>
        <v>0</v>
      </c>
      <c r="F285" s="981"/>
      <c r="G285" s="981"/>
      <c r="H285" s="981"/>
      <c r="I285" s="981"/>
      <c r="J285" s="981"/>
      <c r="K285" s="981">
        <v>0</v>
      </c>
      <c r="L285" s="983">
        <f aca="true" t="shared" si="54" ref="L285:L293">E285/D285</f>
        <v>0</v>
      </c>
    </row>
    <row r="286" spans="1:12" ht="12">
      <c r="A286" s="13"/>
      <c r="B286" s="23">
        <v>60013</v>
      </c>
      <c r="C286" s="1048" t="s">
        <v>146</v>
      </c>
      <c r="D286" s="981">
        <v>590000</v>
      </c>
      <c r="E286" s="981">
        <f>F286+K286</f>
        <v>0</v>
      </c>
      <c r="F286" s="981"/>
      <c r="G286" s="981"/>
      <c r="H286" s="981"/>
      <c r="I286" s="981"/>
      <c r="J286" s="981"/>
      <c r="K286" s="981">
        <v>0</v>
      </c>
      <c r="L286" s="983">
        <f t="shared" si="54"/>
        <v>0</v>
      </c>
    </row>
    <row r="287" spans="1:13" s="991" customFormat="1" ht="13.5" thickBot="1">
      <c r="A287" s="992"/>
      <c r="B287" s="1109">
        <v>60014</v>
      </c>
      <c r="C287" s="1110" t="s">
        <v>147</v>
      </c>
      <c r="D287" s="993">
        <v>200000</v>
      </c>
      <c r="E287" s="993">
        <f>SUM(F287+K287)</f>
        <v>0</v>
      </c>
      <c r="F287" s="993"/>
      <c r="G287" s="993"/>
      <c r="H287" s="993"/>
      <c r="I287" s="993"/>
      <c r="J287" s="993"/>
      <c r="K287" s="993">
        <v>0</v>
      </c>
      <c r="L287" s="1019">
        <f t="shared" si="54"/>
        <v>0</v>
      </c>
      <c r="M287" s="958"/>
    </row>
    <row r="288" spans="1:13" s="991" customFormat="1" ht="26.25" customHeight="1" thickTop="1">
      <c r="A288" s="1111">
        <v>700</v>
      </c>
      <c r="B288" s="1112"/>
      <c r="C288" s="1113" t="s">
        <v>8</v>
      </c>
      <c r="D288" s="1100">
        <f aca="true" t="shared" si="55" ref="D288:K288">D289</f>
        <v>10000</v>
      </c>
      <c r="E288" s="1100">
        <f t="shared" si="55"/>
        <v>10000</v>
      </c>
      <c r="F288" s="1100">
        <f t="shared" si="55"/>
        <v>0</v>
      </c>
      <c r="G288" s="1100">
        <f t="shared" si="55"/>
        <v>0</v>
      </c>
      <c r="H288" s="1100">
        <f t="shared" si="55"/>
        <v>0</v>
      </c>
      <c r="I288" s="1100">
        <f t="shared" si="55"/>
        <v>0</v>
      </c>
      <c r="J288" s="1100">
        <f t="shared" si="55"/>
        <v>0</v>
      </c>
      <c r="K288" s="1100">
        <f t="shared" si="55"/>
        <v>10000</v>
      </c>
      <c r="L288" s="1114">
        <f t="shared" si="54"/>
        <v>1</v>
      </c>
      <c r="M288" s="958"/>
    </row>
    <row r="289" spans="1:13" s="991" customFormat="1" ht="24.75" customHeight="1" thickBot="1">
      <c r="A289" s="992"/>
      <c r="B289" s="1109">
        <v>70095</v>
      </c>
      <c r="C289" s="1115" t="s">
        <v>49</v>
      </c>
      <c r="D289" s="993">
        <v>10000</v>
      </c>
      <c r="E289" s="993">
        <f>F289+K289</f>
        <v>10000</v>
      </c>
      <c r="F289" s="993"/>
      <c r="G289" s="993"/>
      <c r="H289" s="993"/>
      <c r="I289" s="993"/>
      <c r="J289" s="993"/>
      <c r="K289" s="993">
        <v>10000</v>
      </c>
      <c r="L289" s="1019">
        <f t="shared" si="54"/>
        <v>1</v>
      </c>
      <c r="M289" s="958"/>
    </row>
    <row r="290" spans="1:13" s="991" customFormat="1" ht="22.5" customHeight="1" thickTop="1">
      <c r="A290" s="13">
        <v>801</v>
      </c>
      <c r="B290" s="1112"/>
      <c r="C290" s="1116" t="s">
        <v>18</v>
      </c>
      <c r="D290" s="1100">
        <f aca="true" t="shared" si="56" ref="D290:K290">D291</f>
        <v>40000</v>
      </c>
      <c r="E290" s="1100">
        <f t="shared" si="56"/>
        <v>0</v>
      </c>
      <c r="F290" s="1100">
        <f t="shared" si="56"/>
        <v>0</v>
      </c>
      <c r="G290" s="1100">
        <f t="shared" si="56"/>
        <v>0</v>
      </c>
      <c r="H290" s="1100">
        <f t="shared" si="56"/>
        <v>0</v>
      </c>
      <c r="I290" s="1100">
        <f t="shared" si="56"/>
        <v>0</v>
      </c>
      <c r="J290" s="1100">
        <f t="shared" si="56"/>
        <v>0</v>
      </c>
      <c r="K290" s="1100">
        <f t="shared" si="56"/>
        <v>0</v>
      </c>
      <c r="L290" s="1114">
        <f t="shared" si="54"/>
        <v>0</v>
      </c>
      <c r="M290" s="958"/>
    </row>
    <row r="291" spans="1:13" s="991" customFormat="1" ht="23.25" customHeight="1" thickBot="1">
      <c r="A291" s="992"/>
      <c r="B291" s="1109">
        <v>80195</v>
      </c>
      <c r="C291" s="1115" t="s">
        <v>49</v>
      </c>
      <c r="D291" s="993">
        <v>40000</v>
      </c>
      <c r="E291" s="993">
        <f>F291+K291</f>
        <v>0</v>
      </c>
      <c r="F291" s="993"/>
      <c r="G291" s="993"/>
      <c r="H291" s="993"/>
      <c r="I291" s="993"/>
      <c r="J291" s="993"/>
      <c r="K291" s="993">
        <v>0</v>
      </c>
      <c r="L291" s="1019">
        <f t="shared" si="54"/>
        <v>0</v>
      </c>
      <c r="M291" s="958"/>
    </row>
    <row r="292" spans="1:13" s="991" customFormat="1" ht="24.75" customHeight="1" thickTop="1">
      <c r="A292" s="1111">
        <v>926</v>
      </c>
      <c r="B292" s="1112"/>
      <c r="C292" s="1113" t="s">
        <v>523</v>
      </c>
      <c r="D292" s="1100">
        <f aca="true" t="shared" si="57" ref="D292:K292">D293</f>
        <v>200000</v>
      </c>
      <c r="E292" s="1100">
        <f t="shared" si="57"/>
        <v>0</v>
      </c>
      <c r="F292" s="1100">
        <f t="shared" si="57"/>
        <v>0</v>
      </c>
      <c r="G292" s="1100">
        <f t="shared" si="57"/>
        <v>0</v>
      </c>
      <c r="H292" s="1100">
        <f t="shared" si="57"/>
        <v>0</v>
      </c>
      <c r="I292" s="1100">
        <f t="shared" si="57"/>
        <v>0</v>
      </c>
      <c r="J292" s="1100">
        <f t="shared" si="57"/>
        <v>0</v>
      </c>
      <c r="K292" s="1100">
        <f t="shared" si="57"/>
        <v>0</v>
      </c>
      <c r="L292" s="983">
        <f t="shared" si="54"/>
        <v>0</v>
      </c>
      <c r="M292" s="958"/>
    </row>
    <row r="293" spans="1:13" s="991" customFormat="1" ht="26.25" customHeight="1" thickBot="1">
      <c r="A293" s="13"/>
      <c r="B293" s="1117">
        <v>92601</v>
      </c>
      <c r="C293" s="1118" t="s">
        <v>571</v>
      </c>
      <c r="D293" s="1119">
        <v>200000</v>
      </c>
      <c r="E293" s="1119">
        <f>F293+K293</f>
        <v>0</v>
      </c>
      <c r="F293" s="1119">
        <v>0</v>
      </c>
      <c r="G293" s="1119"/>
      <c r="H293" s="1119"/>
      <c r="I293" s="1119"/>
      <c r="J293" s="1119"/>
      <c r="K293" s="1119"/>
      <c r="L293" s="1120">
        <f t="shared" si="54"/>
        <v>0</v>
      </c>
      <c r="M293" s="958"/>
    </row>
    <row r="294" spans="1:12" ht="1.5" customHeight="1">
      <c r="A294" s="1053" t="s">
        <v>194</v>
      </c>
      <c r="B294" s="1054"/>
      <c r="C294" s="1102"/>
      <c r="D294" s="1081"/>
      <c r="E294" s="1081"/>
      <c r="F294" s="1081"/>
      <c r="G294" s="1081"/>
      <c r="H294" s="1081"/>
      <c r="I294" s="1081"/>
      <c r="J294" s="1081"/>
      <c r="K294" s="1056"/>
      <c r="L294" s="974"/>
    </row>
    <row r="295" spans="1:13" s="1121" customFormat="1" ht="24.75" customHeight="1" thickBot="1">
      <c r="A295" s="287"/>
      <c r="B295" s="1058"/>
      <c r="C295" s="1103" t="s">
        <v>135</v>
      </c>
      <c r="D295" s="1059">
        <f aca="true" t="shared" si="58" ref="D295:K295">D283+D288+D290+D292</f>
        <v>1340000</v>
      </c>
      <c r="E295" s="1059">
        <f t="shared" si="58"/>
        <v>10000</v>
      </c>
      <c r="F295" s="1059">
        <f t="shared" si="58"/>
        <v>0</v>
      </c>
      <c r="G295" s="1059">
        <f t="shared" si="58"/>
        <v>0</v>
      </c>
      <c r="H295" s="1059">
        <f t="shared" si="58"/>
        <v>0</v>
      </c>
      <c r="I295" s="1059">
        <f t="shared" si="58"/>
        <v>0</v>
      </c>
      <c r="J295" s="1059">
        <f t="shared" si="58"/>
        <v>0</v>
      </c>
      <c r="K295" s="1059">
        <f t="shared" si="58"/>
        <v>10000</v>
      </c>
      <c r="L295" s="1060">
        <f>E295/D295</f>
        <v>0.007462686567164179</v>
      </c>
      <c r="M295" s="958"/>
    </row>
    <row r="296" spans="1:12" ht="4.5" customHeight="1">
      <c r="A296" s="1048"/>
      <c r="B296" s="1048"/>
      <c r="C296" s="1048"/>
      <c r="D296" s="1024"/>
      <c r="E296" s="1024"/>
      <c r="F296" s="1024"/>
      <c r="G296" s="1024"/>
      <c r="H296" s="1024"/>
      <c r="I296" s="1024"/>
      <c r="J296" s="1024"/>
      <c r="K296" s="1024"/>
      <c r="L296" s="1024"/>
    </row>
    <row r="297" ht="12.75" customHeight="1"/>
    <row r="298" spans="1:13" s="1061" customFormat="1" ht="15">
      <c r="A298" s="1420" t="s">
        <v>587</v>
      </c>
      <c r="B298" s="1420"/>
      <c r="C298" s="1420"/>
      <c r="D298" s="1420"/>
      <c r="E298" s="1420"/>
      <c r="F298" s="1420"/>
      <c r="G298" s="1420"/>
      <c r="H298" s="1420"/>
      <c r="I298" s="1420"/>
      <c r="J298" s="1420"/>
      <c r="K298" s="1420"/>
      <c r="L298" s="958"/>
      <c r="M298" s="958"/>
    </row>
    <row r="299" spans="1:13" s="1061" customFormat="1" ht="15">
      <c r="A299" s="1421" t="s">
        <v>588</v>
      </c>
      <c r="B299" s="1421"/>
      <c r="C299" s="1421"/>
      <c r="D299" s="1421"/>
      <c r="E299" s="1421"/>
      <c r="F299" s="1421"/>
      <c r="G299" s="1421"/>
      <c r="H299" s="1421"/>
      <c r="I299" s="1421"/>
      <c r="J299" s="1421"/>
      <c r="K299" s="1421"/>
      <c r="L299" s="958"/>
      <c r="M299" s="958"/>
    </row>
    <row r="300" spans="1:12" ht="12.75" customHeight="1">
      <c r="A300" s="1397"/>
      <c r="B300" s="1397"/>
      <c r="C300" s="1397"/>
      <c r="D300" s="1397"/>
      <c r="E300" s="1397"/>
      <c r="F300" s="1397"/>
      <c r="G300" s="1397"/>
      <c r="H300" s="1397"/>
      <c r="I300" s="1397"/>
      <c r="J300" s="1397"/>
      <c r="K300" s="1397"/>
      <c r="L300" s="1003"/>
    </row>
    <row r="301" spans="1:12" ht="12.75" customHeight="1" thickBot="1">
      <c r="A301" s="1002"/>
      <c r="B301" s="1002"/>
      <c r="C301" s="1002"/>
      <c r="D301" s="1004"/>
      <c r="E301" s="1004"/>
      <c r="F301" s="1004"/>
      <c r="G301" s="1004"/>
      <c r="H301" s="1004"/>
      <c r="I301" s="1004"/>
      <c r="J301" s="1004"/>
      <c r="K301" s="1004"/>
      <c r="L301" s="1003"/>
    </row>
    <row r="302" spans="1:13" s="1061" customFormat="1" ht="12.75" customHeight="1">
      <c r="A302" s="1406" t="s">
        <v>1</v>
      </c>
      <c r="B302" s="1409" t="s">
        <v>25</v>
      </c>
      <c r="C302" s="1412" t="s">
        <v>27</v>
      </c>
      <c r="D302" s="1415" t="s">
        <v>3</v>
      </c>
      <c r="E302" s="1415" t="s">
        <v>199</v>
      </c>
      <c r="F302" s="1417" t="s">
        <v>4</v>
      </c>
      <c r="G302" s="1418"/>
      <c r="H302" s="1418"/>
      <c r="I302" s="1418"/>
      <c r="J302" s="1418"/>
      <c r="K302" s="1419"/>
      <c r="L302" s="1400" t="s">
        <v>669</v>
      </c>
      <c r="M302" s="958"/>
    </row>
    <row r="303" spans="1:13" s="963" customFormat="1" ht="12" customHeight="1">
      <c r="A303" s="1407"/>
      <c r="B303" s="1410"/>
      <c r="C303" s="1413"/>
      <c r="D303" s="1416"/>
      <c r="E303" s="1416"/>
      <c r="F303" s="1403" t="s">
        <v>497</v>
      </c>
      <c r="G303" s="1405" t="s">
        <v>185</v>
      </c>
      <c r="H303" s="1405"/>
      <c r="I303" s="1405"/>
      <c r="J303" s="1405"/>
      <c r="K303" s="1403" t="s">
        <v>498</v>
      </c>
      <c r="L303" s="1401"/>
      <c r="M303" s="958"/>
    </row>
    <row r="304" spans="1:12" ht="36">
      <c r="A304" s="1408"/>
      <c r="B304" s="1411"/>
      <c r="C304" s="1414"/>
      <c r="D304" s="1404"/>
      <c r="E304" s="1404"/>
      <c r="F304" s="1404"/>
      <c r="G304" s="964" t="s">
        <v>499</v>
      </c>
      <c r="H304" s="964" t="s">
        <v>525</v>
      </c>
      <c r="I304" s="964" t="s">
        <v>501</v>
      </c>
      <c r="J304" s="964" t="s">
        <v>502</v>
      </c>
      <c r="K304" s="1404"/>
      <c r="L304" s="1402"/>
    </row>
    <row r="305" spans="1:12" ht="12.75" thickBot="1">
      <c r="A305" s="965">
        <v>1</v>
      </c>
      <c r="B305" s="1105">
        <v>2</v>
      </c>
      <c r="C305" s="966">
        <v>3</v>
      </c>
      <c r="D305" s="967">
        <v>4</v>
      </c>
      <c r="E305" s="967">
        <v>5</v>
      </c>
      <c r="F305" s="967">
        <v>6</v>
      </c>
      <c r="G305" s="967">
        <v>7</v>
      </c>
      <c r="H305" s="967">
        <v>8</v>
      </c>
      <c r="I305" s="967">
        <v>9</v>
      </c>
      <c r="J305" s="967">
        <v>10</v>
      </c>
      <c r="K305" s="968">
        <v>11</v>
      </c>
      <c r="L305" s="1106">
        <v>12</v>
      </c>
    </row>
    <row r="306" spans="1:12" ht="12">
      <c r="A306" s="13"/>
      <c r="B306" s="14"/>
      <c r="C306" s="15"/>
      <c r="D306" s="981"/>
      <c r="E306" s="981"/>
      <c r="F306" s="981"/>
      <c r="G306" s="981"/>
      <c r="H306" s="981"/>
      <c r="I306" s="981"/>
      <c r="J306" s="981"/>
      <c r="K306" s="981"/>
      <c r="L306" s="1107"/>
    </row>
    <row r="307" spans="1:13" s="1048" customFormat="1" ht="12">
      <c r="A307" s="13"/>
      <c r="B307" s="14"/>
      <c r="C307" s="15" t="s">
        <v>516</v>
      </c>
      <c r="D307" s="981"/>
      <c r="E307" s="981"/>
      <c r="F307" s="981"/>
      <c r="G307" s="981"/>
      <c r="H307" s="981"/>
      <c r="I307" s="981"/>
      <c r="J307" s="981"/>
      <c r="K307" s="981"/>
      <c r="L307" s="983"/>
      <c r="M307" s="958"/>
    </row>
    <row r="308" spans="1:13" s="1048" customFormat="1" ht="12">
      <c r="A308" s="13">
        <v>853</v>
      </c>
      <c r="B308" s="1013"/>
      <c r="C308" s="976" t="s">
        <v>517</v>
      </c>
      <c r="D308" s="977">
        <f aca="true" t="shared" si="59" ref="D308:K308">SUM(D310:D310)</f>
        <v>736386</v>
      </c>
      <c r="E308" s="977">
        <f t="shared" si="59"/>
        <v>593085.84</v>
      </c>
      <c r="F308" s="977">
        <f t="shared" si="59"/>
        <v>593085.84</v>
      </c>
      <c r="G308" s="977">
        <f t="shared" si="59"/>
        <v>379166.5</v>
      </c>
      <c r="H308" s="977">
        <f t="shared" si="59"/>
        <v>108571.45999999999</v>
      </c>
      <c r="I308" s="977">
        <f t="shared" si="59"/>
        <v>0</v>
      </c>
      <c r="J308" s="977">
        <f t="shared" si="59"/>
        <v>0</v>
      </c>
      <c r="K308" s="977">
        <f t="shared" si="59"/>
        <v>0</v>
      </c>
      <c r="L308" s="979">
        <f>E308/D308</f>
        <v>0.8054007544956041</v>
      </c>
      <c r="M308" s="958"/>
    </row>
    <row r="309" spans="1:12" ht="12">
      <c r="A309" s="13"/>
      <c r="B309" s="14"/>
      <c r="C309" s="15"/>
      <c r="D309" s="981"/>
      <c r="E309" s="981"/>
      <c r="F309" s="981"/>
      <c r="G309" s="981"/>
      <c r="H309" s="981"/>
      <c r="I309" s="981"/>
      <c r="J309" s="981"/>
      <c r="K309" s="981"/>
      <c r="L309" s="985"/>
    </row>
    <row r="310" spans="1:12" ht="12.75" thickBot="1">
      <c r="A310" s="13"/>
      <c r="B310" s="14">
        <v>85395</v>
      </c>
      <c r="C310" s="15" t="s">
        <v>49</v>
      </c>
      <c r="D310" s="982">
        <f>700664+35722</f>
        <v>736386</v>
      </c>
      <c r="E310" s="982">
        <f>SUM(F310+K310)</f>
        <v>593085.84</v>
      </c>
      <c r="F310" s="981">
        <f>572122.57+20963.27</f>
        <v>593085.84</v>
      </c>
      <c r="G310" s="981">
        <f>174486.5+10262+183617+10801</f>
        <v>379166.5</v>
      </c>
      <c r="H310" s="981">
        <f>64623.76+3804.62+12859.75+757.08+2002.93+117.93+23048.5+1356.89</f>
        <v>108571.45999999999</v>
      </c>
      <c r="I310" s="981"/>
      <c r="J310" s="981"/>
      <c r="K310" s="981"/>
      <c r="L310" s="983">
        <f>E310/D310</f>
        <v>0.8054007544956041</v>
      </c>
    </row>
    <row r="311" spans="1:12" ht="3" customHeight="1">
      <c r="A311" s="1053" t="s">
        <v>194</v>
      </c>
      <c r="B311" s="1054"/>
      <c r="C311" s="1102"/>
      <c r="D311" s="1081"/>
      <c r="E311" s="1081"/>
      <c r="F311" s="1081"/>
      <c r="G311" s="1081">
        <f>174486.5+10262+183617+10801</f>
        <v>379166.5</v>
      </c>
      <c r="H311" s="1081">
        <f>64623.76+3804.62+12859.75+757.08+2002.93+117.93+23048.5+1356.89</f>
        <v>108571.45999999999</v>
      </c>
      <c r="I311" s="1081"/>
      <c r="J311" s="1081"/>
      <c r="K311" s="1081"/>
      <c r="L311" s="974"/>
    </row>
    <row r="312" spans="1:12" ht="22.5" customHeight="1">
      <c r="A312" s="8"/>
      <c r="B312" s="1122"/>
      <c r="C312" s="1063" t="s">
        <v>135</v>
      </c>
      <c r="D312" s="1084">
        <f aca="true" t="shared" si="60" ref="D312:L312">SUM(D308)</f>
        <v>736386</v>
      </c>
      <c r="E312" s="1084">
        <f t="shared" si="60"/>
        <v>593085.84</v>
      </c>
      <c r="F312" s="1084">
        <f t="shared" si="60"/>
        <v>593085.84</v>
      </c>
      <c r="G312" s="1084">
        <f t="shared" si="60"/>
        <v>379166.5</v>
      </c>
      <c r="H312" s="1084">
        <f t="shared" si="60"/>
        <v>108571.45999999999</v>
      </c>
      <c r="I312" s="1084">
        <f t="shared" si="60"/>
        <v>0</v>
      </c>
      <c r="J312" s="1084">
        <f t="shared" si="60"/>
        <v>0</v>
      </c>
      <c r="K312" s="1084">
        <f t="shared" si="60"/>
        <v>0</v>
      </c>
      <c r="L312" s="1085">
        <f t="shared" si="60"/>
        <v>0.8054007544956041</v>
      </c>
    </row>
    <row r="313" spans="1:12" ht="4.5" customHeight="1" thickBot="1">
      <c r="A313" s="1086"/>
      <c r="B313" s="1321"/>
      <c r="C313" s="1284"/>
      <c r="D313" s="1032"/>
      <c r="E313" s="1032"/>
      <c r="F313" s="1032"/>
      <c r="G313" s="1032"/>
      <c r="H313" s="1032"/>
      <c r="I313" s="1032"/>
      <c r="J313" s="1032"/>
      <c r="K313" s="1032"/>
      <c r="L313" s="1087"/>
    </row>
    <row r="314" spans="1:11" ht="12">
      <c r="A314" s="1048"/>
      <c r="B314" s="1048"/>
      <c r="C314" s="1048"/>
      <c r="D314" s="1024"/>
      <c r="E314" s="1024"/>
      <c r="F314" s="1024"/>
      <c r="G314" s="1024"/>
      <c r="H314" s="1024"/>
      <c r="I314" s="1024"/>
      <c r="J314" s="1024"/>
      <c r="K314" s="1024"/>
    </row>
    <row r="315" spans="1:13" s="1061" customFormat="1" ht="15">
      <c r="A315" s="1396"/>
      <c r="B315" s="1396"/>
      <c r="C315" s="1396"/>
      <c r="D315" s="1396"/>
      <c r="E315" s="1396"/>
      <c r="F315" s="1396"/>
      <c r="G315" s="1396"/>
      <c r="H315" s="1396"/>
      <c r="I315" s="1396"/>
      <c r="J315" s="1396"/>
      <c r="K315" s="1396"/>
      <c r="L315" s="958"/>
      <c r="M315" s="1123"/>
    </row>
    <row r="316" spans="1:12" ht="12.75" customHeight="1">
      <c r="A316" s="1397"/>
      <c r="B316" s="1397"/>
      <c r="C316" s="1397"/>
      <c r="D316" s="1397"/>
      <c r="E316" s="1397"/>
      <c r="F316" s="1397"/>
      <c r="G316" s="1397"/>
      <c r="H316" s="1397"/>
      <c r="I316" s="1397"/>
      <c r="J316" s="1397"/>
      <c r="K316" s="1397"/>
      <c r="L316" s="1003"/>
    </row>
    <row r="317" spans="1:12" ht="12.75" customHeight="1">
      <c r="A317" s="1002"/>
      <c r="B317" s="1002"/>
      <c r="C317" s="1002"/>
      <c r="D317" s="1004"/>
      <c r="E317" s="1004"/>
      <c r="F317" s="1004"/>
      <c r="G317" s="1004"/>
      <c r="H317" s="1004"/>
      <c r="I317" s="1004"/>
      <c r="J317" s="1004"/>
      <c r="K317" s="1004"/>
      <c r="L317" s="1003"/>
    </row>
    <row r="318" spans="1:13" s="1061" customFormat="1" ht="12.75" customHeight="1">
      <c r="A318" s="1399"/>
      <c r="B318" s="1399"/>
      <c r="C318" s="1399"/>
      <c r="D318" s="1395"/>
      <c r="E318" s="1395"/>
      <c r="F318" s="1395"/>
      <c r="G318" s="1395"/>
      <c r="H318" s="1395"/>
      <c r="I318" s="1395"/>
      <c r="J318" s="1395"/>
      <c r="K318" s="1395"/>
      <c r="L318" s="958"/>
      <c r="M318" s="1123"/>
    </row>
    <row r="319" spans="1:13" s="963" customFormat="1" ht="12" customHeight="1">
      <c r="A319" s="1399"/>
      <c r="B319" s="1399"/>
      <c r="C319" s="1399"/>
      <c r="D319" s="1395"/>
      <c r="E319" s="1395"/>
      <c r="F319" s="1395"/>
      <c r="G319" s="1395"/>
      <c r="H319" s="1395"/>
      <c r="I319" s="1395"/>
      <c r="J319" s="1395"/>
      <c r="K319" s="1395"/>
      <c r="L319" s="958"/>
      <c r="M319" s="962"/>
    </row>
    <row r="320" spans="1:11" ht="12">
      <c r="A320" s="1399"/>
      <c r="B320" s="1399"/>
      <c r="C320" s="1399"/>
      <c r="D320" s="1395"/>
      <c r="E320" s="1395"/>
      <c r="F320" s="1395"/>
      <c r="G320" s="1124"/>
      <c r="H320" s="1124"/>
      <c r="I320" s="1124"/>
      <c r="J320" s="1124"/>
      <c r="K320" s="1395"/>
    </row>
    <row r="321" spans="1:11" ht="12">
      <c r="A321" s="1125"/>
      <c r="B321" s="1125"/>
      <c r="C321" s="1126"/>
      <c r="D321" s="1127"/>
      <c r="E321" s="1127"/>
      <c r="F321" s="1127"/>
      <c r="G321" s="1127"/>
      <c r="H321" s="1127"/>
      <c r="I321" s="1127"/>
      <c r="J321" s="1127"/>
      <c r="K321" s="1127"/>
    </row>
    <row r="322" spans="1:11" ht="12">
      <c r="A322" s="1002"/>
      <c r="B322" s="1002"/>
      <c r="C322" s="1048"/>
      <c r="D322" s="1024"/>
      <c r="E322" s="1024"/>
      <c r="F322" s="1024"/>
      <c r="G322" s="1024"/>
      <c r="H322" s="1024"/>
      <c r="I322" s="1024"/>
      <c r="J322" s="1024"/>
      <c r="K322" s="1024"/>
    </row>
    <row r="323" spans="1:13" s="1048" customFormat="1" ht="12">
      <c r="A323" s="1002"/>
      <c r="B323" s="1002"/>
      <c r="D323" s="1024"/>
      <c r="E323" s="1024"/>
      <c r="F323" s="1024"/>
      <c r="G323" s="1024"/>
      <c r="H323" s="1024"/>
      <c r="I323" s="1024"/>
      <c r="J323" s="1024"/>
      <c r="K323" s="1024"/>
      <c r="L323" s="958"/>
      <c r="M323" s="1024"/>
    </row>
    <row r="324" spans="1:13" s="1048" customFormat="1" ht="12">
      <c r="A324" s="1002"/>
      <c r="B324" s="1002"/>
      <c r="D324" s="1024"/>
      <c r="E324" s="1024"/>
      <c r="F324" s="1024"/>
      <c r="G324" s="1024"/>
      <c r="H324" s="1024"/>
      <c r="I324" s="1024"/>
      <c r="J324" s="1024"/>
      <c r="K324" s="1024"/>
      <c r="L324" s="958"/>
      <c r="M324" s="1024"/>
    </row>
    <row r="325" spans="1:11" ht="12">
      <c r="A325" s="1002"/>
      <c r="B325" s="1002"/>
      <c r="C325" s="1048"/>
      <c r="D325" s="1024"/>
      <c r="E325" s="1024"/>
      <c r="F325" s="1024"/>
      <c r="G325" s="1024"/>
      <c r="H325" s="1024"/>
      <c r="I325" s="1024"/>
      <c r="J325" s="1024"/>
      <c r="K325" s="1024"/>
    </row>
    <row r="326" spans="1:11" ht="12">
      <c r="A326" s="1002"/>
      <c r="B326" s="1002"/>
      <c r="C326" s="1048"/>
      <c r="D326" s="1024"/>
      <c r="E326" s="1024"/>
      <c r="F326" s="1024"/>
      <c r="G326" s="1024"/>
      <c r="H326" s="1024"/>
      <c r="I326" s="1024"/>
      <c r="J326" s="1024"/>
      <c r="K326" s="1024"/>
    </row>
    <row r="327" spans="1:11" ht="12">
      <c r="A327" s="1048"/>
      <c r="B327" s="1048"/>
      <c r="C327" s="1048"/>
      <c r="D327" s="1024"/>
      <c r="E327" s="1024"/>
      <c r="F327" s="1024"/>
      <c r="G327" s="1024"/>
      <c r="H327" s="1024"/>
      <c r="I327" s="1024"/>
      <c r="J327" s="1024"/>
      <c r="K327" s="1024"/>
    </row>
    <row r="328" spans="1:11" ht="12.75">
      <c r="A328" s="1062"/>
      <c r="B328" s="1063"/>
      <c r="C328" s="1063"/>
      <c r="D328" s="1064"/>
      <c r="E328" s="1064"/>
      <c r="F328" s="1064"/>
      <c r="G328" s="1064"/>
      <c r="H328" s="1064"/>
      <c r="I328" s="1064"/>
      <c r="J328" s="1064"/>
      <c r="K328" s="1064"/>
    </row>
    <row r="329" spans="1:11" ht="12.75" customHeight="1">
      <c r="A329" s="1048"/>
      <c r="B329" s="1048"/>
      <c r="C329" s="1048"/>
      <c r="D329" s="1024"/>
      <c r="E329" s="1024"/>
      <c r="F329" s="1024"/>
      <c r="G329" s="1024"/>
      <c r="H329" s="1024"/>
      <c r="I329" s="1024"/>
      <c r="J329" s="1024"/>
      <c r="K329" s="1024"/>
    </row>
    <row r="330" spans="1:11" ht="12">
      <c r="A330" s="1048"/>
      <c r="B330" s="1048"/>
      <c r="C330" s="1048"/>
      <c r="D330" s="1024"/>
      <c r="E330" s="1024"/>
      <c r="F330" s="1024"/>
      <c r="G330" s="1024"/>
      <c r="H330" s="1024"/>
      <c r="I330" s="1024"/>
      <c r="J330" s="1024"/>
      <c r="K330" s="1024"/>
    </row>
    <row r="331" spans="1:11" ht="15">
      <c r="A331" s="1048"/>
      <c r="B331" s="1398"/>
      <c r="C331" s="1398"/>
      <c r="D331" s="1398"/>
      <c r="E331" s="1398"/>
      <c r="F331" s="1398"/>
      <c r="G331" s="1398"/>
      <c r="H331" s="1398"/>
      <c r="I331" s="1398"/>
      <c r="J331" s="1398"/>
      <c r="K331" s="1024"/>
    </row>
    <row r="332" spans="1:11" ht="12">
      <c r="A332" s="1048"/>
      <c r="B332" s="1397"/>
      <c r="C332" s="1397"/>
      <c r="D332" s="1397"/>
      <c r="E332" s="1397"/>
      <c r="F332" s="1397"/>
      <c r="G332" s="1397"/>
      <c r="H332" s="1397"/>
      <c r="I332" s="1397"/>
      <c r="J332" s="1397"/>
      <c r="K332" s="1024"/>
    </row>
    <row r="333" spans="1:11" ht="15" customHeight="1">
      <c r="A333" s="1048"/>
      <c r="B333" s="1128"/>
      <c r="C333" s="1129"/>
      <c r="D333" s="1130"/>
      <c r="E333" s="1129"/>
      <c r="F333" s="1131"/>
      <c r="G333" s="1132"/>
      <c r="H333" s="1024"/>
      <c r="I333" s="1132"/>
      <c r="J333" s="1131"/>
      <c r="K333" s="1024"/>
    </row>
    <row r="334" spans="1:13" s="1061" customFormat="1" ht="12.75" customHeight="1">
      <c r="A334" s="1399"/>
      <c r="B334" s="1399"/>
      <c r="C334" s="1399"/>
      <c r="D334" s="1395"/>
      <c r="E334" s="1395"/>
      <c r="F334" s="1395"/>
      <c r="G334" s="1395"/>
      <c r="H334" s="1395"/>
      <c r="I334" s="1395"/>
      <c r="J334" s="1395"/>
      <c r="K334" s="1395"/>
      <c r="L334" s="958"/>
      <c r="M334" s="1123"/>
    </row>
    <row r="335" spans="1:13" s="963" customFormat="1" ht="12" customHeight="1">
      <c r="A335" s="1399"/>
      <c r="B335" s="1399"/>
      <c r="C335" s="1399"/>
      <c r="D335" s="1395"/>
      <c r="E335" s="1395"/>
      <c r="F335" s="1395"/>
      <c r="G335" s="1395"/>
      <c r="H335" s="1395"/>
      <c r="I335" s="1395"/>
      <c r="J335" s="1395"/>
      <c r="K335" s="1395"/>
      <c r="L335" s="958"/>
      <c r="M335" s="962"/>
    </row>
    <row r="336" spans="1:11" ht="12">
      <c r="A336" s="1399"/>
      <c r="B336" s="1399"/>
      <c r="C336" s="1399"/>
      <c r="D336" s="1395"/>
      <c r="E336" s="1395"/>
      <c r="F336" s="1395"/>
      <c r="G336" s="1124"/>
      <c r="H336" s="1124"/>
      <c r="I336" s="1124"/>
      <c r="J336" s="1124"/>
      <c r="K336" s="1395"/>
    </row>
    <row r="337" spans="1:11" ht="12">
      <c r="A337" s="1125"/>
      <c r="B337" s="1125"/>
      <c r="C337" s="1126"/>
      <c r="D337" s="1127"/>
      <c r="E337" s="1127"/>
      <c r="F337" s="1127"/>
      <c r="G337" s="1127"/>
      <c r="H337" s="1127"/>
      <c r="I337" s="1127"/>
      <c r="J337" s="1127"/>
      <c r="K337" s="1127"/>
    </row>
    <row r="338" spans="1:11" ht="12">
      <c r="A338" s="1002"/>
      <c r="B338" s="1002"/>
      <c r="C338" s="1048"/>
      <c r="D338" s="1024"/>
      <c r="E338" s="1024"/>
      <c r="F338" s="1024"/>
      <c r="G338" s="1024"/>
      <c r="H338" s="1024"/>
      <c r="I338" s="1024"/>
      <c r="J338" s="1024"/>
      <c r="K338" s="1024"/>
    </row>
    <row r="339" spans="1:13" s="1048" customFormat="1" ht="12">
      <c r="A339" s="1002"/>
      <c r="B339" s="1002"/>
      <c r="D339" s="1024"/>
      <c r="E339" s="1024"/>
      <c r="F339" s="1024"/>
      <c r="G339" s="1024"/>
      <c r="H339" s="1024"/>
      <c r="I339" s="1024"/>
      <c r="J339" s="1024"/>
      <c r="K339" s="1024"/>
      <c r="L339" s="958"/>
      <c r="M339" s="1024"/>
    </row>
    <row r="340" spans="1:13" s="1048" customFormat="1" ht="12">
      <c r="A340" s="1002"/>
      <c r="B340" s="1002"/>
      <c r="D340" s="1024"/>
      <c r="E340" s="1024"/>
      <c r="F340" s="1024"/>
      <c r="G340" s="1024"/>
      <c r="H340" s="1024"/>
      <c r="I340" s="1024"/>
      <c r="J340" s="1024"/>
      <c r="K340" s="1024"/>
      <c r="L340" s="958"/>
      <c r="M340" s="1024"/>
    </row>
    <row r="341" spans="1:11" ht="12">
      <c r="A341" s="1002"/>
      <c r="B341" s="1002"/>
      <c r="C341" s="1048"/>
      <c r="D341" s="1024"/>
      <c r="E341" s="1024"/>
      <c r="F341" s="1024"/>
      <c r="G341" s="1024"/>
      <c r="H341" s="1024"/>
      <c r="I341" s="1024"/>
      <c r="J341" s="1024"/>
      <c r="K341" s="1024"/>
    </row>
    <row r="342" spans="1:11" ht="12">
      <c r="A342" s="1002"/>
      <c r="B342" s="1002"/>
      <c r="C342" s="1048"/>
      <c r="D342" s="1024"/>
      <c r="E342" s="1024"/>
      <c r="F342" s="1024"/>
      <c r="G342" s="1024"/>
      <c r="H342" s="1024"/>
      <c r="I342" s="1024"/>
      <c r="J342" s="1024"/>
      <c r="K342" s="1024"/>
    </row>
    <row r="343" spans="1:11" ht="12">
      <c r="A343" s="1048"/>
      <c r="B343" s="1048"/>
      <c r="C343" s="1048"/>
      <c r="D343" s="1024"/>
      <c r="E343" s="1024"/>
      <c r="F343" s="1024"/>
      <c r="G343" s="1024"/>
      <c r="H343" s="1024"/>
      <c r="I343" s="1024"/>
      <c r="J343" s="1024"/>
      <c r="K343" s="1024"/>
    </row>
    <row r="344" spans="1:11" ht="12.75">
      <c r="A344" s="1062"/>
      <c r="B344" s="1063"/>
      <c r="C344" s="1063"/>
      <c r="D344" s="1064"/>
      <c r="E344" s="1064"/>
      <c r="F344" s="1064"/>
      <c r="G344" s="1064"/>
      <c r="H344" s="1064"/>
      <c r="I344" s="1064"/>
      <c r="J344" s="1064"/>
      <c r="K344" s="1064"/>
    </row>
    <row r="345" spans="1:11" ht="12.75" customHeight="1">
      <c r="A345" s="1048"/>
      <c r="B345" s="1048"/>
      <c r="C345" s="1048"/>
      <c r="D345" s="1024"/>
      <c r="E345" s="1024"/>
      <c r="F345" s="1024"/>
      <c r="G345" s="1024"/>
      <c r="H345" s="1024"/>
      <c r="I345" s="1024"/>
      <c r="J345" s="1024"/>
      <c r="K345" s="1024"/>
    </row>
    <row r="346" spans="1:11" ht="12">
      <c r="A346" s="1048"/>
      <c r="B346" s="1048"/>
      <c r="C346" s="1048"/>
      <c r="D346" s="1024"/>
      <c r="E346" s="1024"/>
      <c r="F346" s="1024"/>
      <c r="G346" s="1024"/>
      <c r="H346" s="1024"/>
      <c r="I346" s="1024"/>
      <c r="J346" s="1024"/>
      <c r="K346" s="1024"/>
    </row>
    <row r="347" spans="1:11" ht="12">
      <c r="A347" s="1048"/>
      <c r="B347" s="1048"/>
      <c r="C347" s="1048"/>
      <c r="D347" s="1024"/>
      <c r="E347" s="1024"/>
      <c r="F347" s="1024"/>
      <c r="G347" s="1024"/>
      <c r="H347" s="1024"/>
      <c r="I347" s="1024"/>
      <c r="J347" s="1024"/>
      <c r="K347" s="1024"/>
    </row>
    <row r="348" spans="1:11" ht="12">
      <c r="A348" s="1048"/>
      <c r="B348" s="1048"/>
      <c r="C348" s="1048"/>
      <c r="D348" s="1024"/>
      <c r="E348" s="1024"/>
      <c r="F348" s="1024"/>
      <c r="G348" s="1024"/>
      <c r="H348" s="1024"/>
      <c r="I348" s="1024"/>
      <c r="J348" s="1024"/>
      <c r="K348" s="1024"/>
    </row>
    <row r="349" spans="1:11" ht="12">
      <c r="A349" s="1048"/>
      <c r="B349" s="1048"/>
      <c r="C349" s="1048"/>
      <c r="D349" s="1024"/>
      <c r="E349" s="1024"/>
      <c r="F349" s="1024"/>
      <c r="G349" s="1024"/>
      <c r="H349" s="1024"/>
      <c r="I349" s="1024"/>
      <c r="J349" s="1024"/>
      <c r="K349" s="1024"/>
    </row>
    <row r="350" spans="1:11" ht="12">
      <c r="A350" s="1048"/>
      <c r="B350" s="1048"/>
      <c r="C350" s="1048"/>
      <c r="D350" s="1024"/>
      <c r="E350" s="1024"/>
      <c r="F350" s="1024"/>
      <c r="G350" s="1024"/>
      <c r="H350" s="1024"/>
      <c r="I350" s="1024"/>
      <c r="J350" s="1024"/>
      <c r="K350" s="1024"/>
    </row>
    <row r="351" spans="1:11" ht="12">
      <c r="A351" s="1048"/>
      <c r="B351" s="1048"/>
      <c r="C351" s="1048"/>
      <c r="D351" s="1024"/>
      <c r="E351" s="1024"/>
      <c r="F351" s="1024"/>
      <c r="G351" s="1024"/>
      <c r="H351" s="1024"/>
      <c r="I351" s="1024"/>
      <c r="J351" s="1024"/>
      <c r="K351" s="1024"/>
    </row>
    <row r="352" spans="1:11" ht="12">
      <c r="A352" s="1048"/>
      <c r="B352" s="1048"/>
      <c r="C352" s="1048"/>
      <c r="D352" s="1024"/>
      <c r="E352" s="1024"/>
      <c r="F352" s="1024"/>
      <c r="G352" s="1024"/>
      <c r="H352" s="1024"/>
      <c r="I352" s="1024"/>
      <c r="J352" s="1024"/>
      <c r="K352" s="1024"/>
    </row>
    <row r="353" spans="1:11" ht="12">
      <c r="A353" s="1048"/>
      <c r="B353" s="1048"/>
      <c r="C353" s="1048"/>
      <c r="D353" s="1024"/>
      <c r="E353" s="1024"/>
      <c r="F353" s="1024"/>
      <c r="G353" s="1024"/>
      <c r="H353" s="1024"/>
      <c r="I353" s="1024"/>
      <c r="J353" s="1024"/>
      <c r="K353" s="1024"/>
    </row>
    <row r="354" spans="1:11" ht="12">
      <c r="A354" s="1048"/>
      <c r="B354" s="1048"/>
      <c r="C354" s="1048"/>
      <c r="D354" s="1024"/>
      <c r="E354" s="1024"/>
      <c r="F354" s="1024"/>
      <c r="G354" s="1024"/>
      <c r="H354" s="1024"/>
      <c r="I354" s="1024"/>
      <c r="J354" s="1024"/>
      <c r="K354" s="1024"/>
    </row>
    <row r="355" spans="1:11" ht="12">
      <c r="A355" s="1048"/>
      <c r="B355" s="1048"/>
      <c r="C355" s="1048"/>
      <c r="D355" s="1024"/>
      <c r="E355" s="1024"/>
      <c r="F355" s="1024"/>
      <c r="G355" s="1024"/>
      <c r="H355" s="1024"/>
      <c r="I355" s="1024"/>
      <c r="J355" s="1024"/>
      <c r="K355" s="1024"/>
    </row>
    <row r="356" spans="1:11" ht="12">
      <c r="A356" s="1048"/>
      <c r="B356" s="1048"/>
      <c r="C356" s="1048"/>
      <c r="D356" s="1024"/>
      <c r="E356" s="1024"/>
      <c r="F356" s="1024"/>
      <c r="G356" s="1024"/>
      <c r="H356" s="1024"/>
      <c r="I356" s="1024"/>
      <c r="J356" s="1024"/>
      <c r="K356" s="1024"/>
    </row>
    <row r="357" spans="1:11" ht="12">
      <c r="A357" s="1048"/>
      <c r="B357" s="1048"/>
      <c r="C357" s="1048"/>
      <c r="D357" s="1024"/>
      <c r="E357" s="1024"/>
      <c r="F357" s="1024"/>
      <c r="G357" s="1024"/>
      <c r="H357" s="1024"/>
      <c r="I357" s="1024"/>
      <c r="J357" s="1024"/>
      <c r="K357" s="1024"/>
    </row>
    <row r="358" spans="1:11" ht="12">
      <c r="A358" s="1048"/>
      <c r="B358" s="1048"/>
      <c r="C358" s="1048"/>
      <c r="D358" s="1024"/>
      <c r="E358" s="1024"/>
      <c r="F358" s="1024"/>
      <c r="G358" s="1024"/>
      <c r="H358" s="1024"/>
      <c r="I358" s="1024"/>
      <c r="J358" s="1024"/>
      <c r="K358" s="1024"/>
    </row>
    <row r="359" spans="1:11" ht="12">
      <c r="A359" s="1048"/>
      <c r="B359" s="1048"/>
      <c r="C359" s="1048"/>
      <c r="D359" s="1024"/>
      <c r="E359" s="1024"/>
      <c r="F359" s="1024"/>
      <c r="G359" s="1024"/>
      <c r="H359" s="1024"/>
      <c r="I359" s="1024"/>
      <c r="J359" s="1024"/>
      <c r="K359" s="1024"/>
    </row>
    <row r="360" spans="1:11" ht="12">
      <c r="A360" s="1048"/>
      <c r="B360" s="1048"/>
      <c r="C360" s="1048"/>
      <c r="D360" s="1024"/>
      <c r="E360" s="1024"/>
      <c r="F360" s="1024"/>
      <c r="G360" s="1024"/>
      <c r="H360" s="1024"/>
      <c r="I360" s="1024"/>
      <c r="J360" s="1024"/>
      <c r="K360" s="1024"/>
    </row>
    <row r="361" spans="1:11" ht="12">
      <c r="A361" s="1048"/>
      <c r="B361" s="1048"/>
      <c r="C361" s="1048"/>
      <c r="D361" s="1024"/>
      <c r="E361" s="1024"/>
      <c r="F361" s="1024"/>
      <c r="G361" s="1024"/>
      <c r="H361" s="1024"/>
      <c r="I361" s="1024"/>
      <c r="J361" s="1024"/>
      <c r="K361" s="1024"/>
    </row>
    <row r="362" spans="1:11" ht="12">
      <c r="A362" s="1048"/>
      <c r="B362" s="1048"/>
      <c r="C362" s="1048"/>
      <c r="D362" s="1024"/>
      <c r="E362" s="1024"/>
      <c r="F362" s="1024"/>
      <c r="G362" s="1024"/>
      <c r="H362" s="1024"/>
      <c r="I362" s="1024"/>
      <c r="J362" s="1024"/>
      <c r="K362" s="1024"/>
    </row>
    <row r="363" spans="1:11" ht="12">
      <c r="A363" s="1048"/>
      <c r="B363" s="1048"/>
      <c r="C363" s="1048"/>
      <c r="D363" s="1024"/>
      <c r="E363" s="1024"/>
      <c r="F363" s="1024"/>
      <c r="G363" s="1024"/>
      <c r="H363" s="1024"/>
      <c r="I363" s="1024"/>
      <c r="J363" s="1024"/>
      <c r="K363" s="1024"/>
    </row>
    <row r="364" spans="1:11" ht="12">
      <c r="A364" s="1048"/>
      <c r="B364" s="1048"/>
      <c r="C364" s="1048"/>
      <c r="D364" s="1024"/>
      <c r="E364" s="1024"/>
      <c r="F364" s="1024"/>
      <c r="G364" s="1024"/>
      <c r="H364" s="1024"/>
      <c r="I364" s="1024"/>
      <c r="J364" s="1024"/>
      <c r="K364" s="1024"/>
    </row>
    <row r="365" spans="1:11" ht="12">
      <c r="A365" s="1048"/>
      <c r="B365" s="1048"/>
      <c r="C365" s="1048"/>
      <c r="D365" s="1024"/>
      <c r="E365" s="1024"/>
      <c r="F365" s="1024"/>
      <c r="G365" s="1024"/>
      <c r="H365" s="1024"/>
      <c r="I365" s="1024"/>
      <c r="J365" s="1024"/>
      <c r="K365" s="1024"/>
    </row>
    <row r="366" spans="1:11" ht="12">
      <c r="A366" s="1048"/>
      <c r="B366" s="1048"/>
      <c r="C366" s="1048"/>
      <c r="D366" s="1024"/>
      <c r="E366" s="1024"/>
      <c r="F366" s="1024"/>
      <c r="G366" s="1024"/>
      <c r="H366" s="1024"/>
      <c r="I366" s="1024"/>
      <c r="J366" s="1024"/>
      <c r="K366" s="1024"/>
    </row>
    <row r="367" spans="1:11" ht="12">
      <c r="A367" s="1048"/>
      <c r="B367" s="1048"/>
      <c r="C367" s="1048"/>
      <c r="D367" s="1024"/>
      <c r="E367" s="1024"/>
      <c r="F367" s="1024"/>
      <c r="G367" s="1024"/>
      <c r="H367" s="1024"/>
      <c r="I367" s="1024"/>
      <c r="J367" s="1024"/>
      <c r="K367" s="1024"/>
    </row>
    <row r="368" spans="1:11" ht="12">
      <c r="A368" s="1048"/>
      <c r="B368" s="1048"/>
      <c r="C368" s="1048"/>
      <c r="D368" s="1024"/>
      <c r="E368" s="1024"/>
      <c r="F368" s="1024"/>
      <c r="G368" s="1024"/>
      <c r="H368" s="1024"/>
      <c r="I368" s="1024"/>
      <c r="J368" s="1024"/>
      <c r="K368" s="1024"/>
    </row>
    <row r="369" spans="1:11" ht="12">
      <c r="A369" s="1048"/>
      <c r="B369" s="1048"/>
      <c r="C369" s="1048"/>
      <c r="D369" s="1024"/>
      <c r="E369" s="1024"/>
      <c r="F369" s="1024"/>
      <c r="G369" s="1024"/>
      <c r="H369" s="1024"/>
      <c r="I369" s="1024"/>
      <c r="J369" s="1024"/>
      <c r="K369" s="1024"/>
    </row>
    <row r="370" spans="1:11" ht="12">
      <c r="A370" s="1048"/>
      <c r="B370" s="1048"/>
      <c r="C370" s="1048"/>
      <c r="D370" s="1024"/>
      <c r="E370" s="1024"/>
      <c r="F370" s="1024"/>
      <c r="G370" s="1024"/>
      <c r="H370" s="1024"/>
      <c r="I370" s="1024"/>
      <c r="J370" s="1024"/>
      <c r="K370" s="1024"/>
    </row>
    <row r="371" spans="1:11" ht="12">
      <c r="A371" s="1048"/>
      <c r="B371" s="1048"/>
      <c r="C371" s="1048"/>
      <c r="D371" s="1024"/>
      <c r="E371" s="1024"/>
      <c r="F371" s="1024"/>
      <c r="G371" s="1024"/>
      <c r="H371" s="1024"/>
      <c r="I371" s="1024"/>
      <c r="J371" s="1024"/>
      <c r="K371" s="1024"/>
    </row>
    <row r="372" spans="1:11" ht="12">
      <c r="A372" s="1048"/>
      <c r="B372" s="1048"/>
      <c r="C372" s="1048"/>
      <c r="D372" s="1024"/>
      <c r="E372" s="1024"/>
      <c r="F372" s="1024"/>
      <c r="G372" s="1024"/>
      <c r="H372" s="1024"/>
      <c r="I372" s="1024"/>
      <c r="J372" s="1024"/>
      <c r="K372" s="1024"/>
    </row>
    <row r="373" spans="1:11" ht="12">
      <c r="A373" s="1048"/>
      <c r="B373" s="1048"/>
      <c r="C373" s="1048"/>
      <c r="D373" s="1024"/>
      <c r="E373" s="1024"/>
      <c r="F373" s="1024"/>
      <c r="G373" s="1024"/>
      <c r="H373" s="1024"/>
      <c r="I373" s="1024"/>
      <c r="J373" s="1024"/>
      <c r="K373" s="1024"/>
    </row>
    <row r="374" spans="1:11" ht="12">
      <c r="A374" s="1048"/>
      <c r="B374" s="1048"/>
      <c r="C374" s="1048"/>
      <c r="D374" s="1024"/>
      <c r="E374" s="1024"/>
      <c r="F374" s="1024"/>
      <c r="G374" s="1024"/>
      <c r="H374" s="1024"/>
      <c r="I374" s="1024"/>
      <c r="J374" s="1024"/>
      <c r="K374" s="1024"/>
    </row>
  </sheetData>
  <sheetProtection/>
  <mergeCells count="117">
    <mergeCell ref="A1:K1"/>
    <mergeCell ref="A2:K2"/>
    <mergeCell ref="B4:B6"/>
    <mergeCell ref="C4:C6"/>
    <mergeCell ref="D4:D6"/>
    <mergeCell ref="E4:E6"/>
    <mergeCell ref="F4:K4"/>
    <mergeCell ref="L4:L6"/>
    <mergeCell ref="F5:F6"/>
    <mergeCell ref="G5:J5"/>
    <mergeCell ref="K5:K6"/>
    <mergeCell ref="L8:L9"/>
    <mergeCell ref="L10:L11"/>
    <mergeCell ref="L12:L13"/>
    <mergeCell ref="L14:L15"/>
    <mergeCell ref="L16:L17"/>
    <mergeCell ref="L18:L19"/>
    <mergeCell ref="L20:L21"/>
    <mergeCell ref="L22:L24"/>
    <mergeCell ref="L25:L26"/>
    <mergeCell ref="L27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A53:K53"/>
    <mergeCell ref="A54:K54"/>
    <mergeCell ref="A55:K55"/>
    <mergeCell ref="A57:A59"/>
    <mergeCell ref="B57:B59"/>
    <mergeCell ref="C57:C59"/>
    <mergeCell ref="D57:D59"/>
    <mergeCell ref="E57:E59"/>
    <mergeCell ref="F57:K57"/>
    <mergeCell ref="L57:L59"/>
    <mergeCell ref="F58:F59"/>
    <mergeCell ref="G58:J58"/>
    <mergeCell ref="K58:K59"/>
    <mergeCell ref="L61:L62"/>
    <mergeCell ref="A208:K208"/>
    <mergeCell ref="A258:K258"/>
    <mergeCell ref="B209:H209"/>
    <mergeCell ref="A210:K210"/>
    <mergeCell ref="A212:A214"/>
    <mergeCell ref="B212:B214"/>
    <mergeCell ref="C212:C214"/>
    <mergeCell ref="D212:D214"/>
    <mergeCell ref="E212:E214"/>
    <mergeCell ref="F212:K212"/>
    <mergeCell ref="B260:B262"/>
    <mergeCell ref="C260:C262"/>
    <mergeCell ref="D260:D262"/>
    <mergeCell ref="E260:E262"/>
    <mergeCell ref="F260:K260"/>
    <mergeCell ref="L212:L214"/>
    <mergeCell ref="F213:F214"/>
    <mergeCell ref="G213:J213"/>
    <mergeCell ref="K213:K214"/>
    <mergeCell ref="A257:K257"/>
    <mergeCell ref="D278:D280"/>
    <mergeCell ref="E278:E280"/>
    <mergeCell ref="F278:K278"/>
    <mergeCell ref="L260:L262"/>
    <mergeCell ref="F261:F262"/>
    <mergeCell ref="G261:J261"/>
    <mergeCell ref="K261:K262"/>
    <mergeCell ref="A275:K275"/>
    <mergeCell ref="A276:K276"/>
    <mergeCell ref="A260:A262"/>
    <mergeCell ref="L278:L280"/>
    <mergeCell ref="F279:F280"/>
    <mergeCell ref="G279:J279"/>
    <mergeCell ref="K279:K280"/>
    <mergeCell ref="A298:K298"/>
    <mergeCell ref="A299:G299"/>
    <mergeCell ref="H299:K299"/>
    <mergeCell ref="A278:A280"/>
    <mergeCell ref="B278:B280"/>
    <mergeCell ref="C278:C280"/>
    <mergeCell ref="A300:K300"/>
    <mergeCell ref="A302:A304"/>
    <mergeCell ref="B302:B304"/>
    <mergeCell ref="C302:C304"/>
    <mergeCell ref="D302:D304"/>
    <mergeCell ref="E302:E304"/>
    <mergeCell ref="F302:K302"/>
    <mergeCell ref="G319:J319"/>
    <mergeCell ref="K319:K320"/>
    <mergeCell ref="L302:L304"/>
    <mergeCell ref="F303:F304"/>
    <mergeCell ref="G303:J303"/>
    <mergeCell ref="K303:K304"/>
    <mergeCell ref="F334:K334"/>
    <mergeCell ref="F335:F336"/>
    <mergeCell ref="G335:J335"/>
    <mergeCell ref="A318:A320"/>
    <mergeCell ref="B318:B320"/>
    <mergeCell ref="C318:C320"/>
    <mergeCell ref="D318:D320"/>
    <mergeCell ref="E318:E320"/>
    <mergeCell ref="F318:K318"/>
    <mergeCell ref="F319:F320"/>
    <mergeCell ref="K335:K336"/>
    <mergeCell ref="A315:K315"/>
    <mergeCell ref="A316:K316"/>
    <mergeCell ref="B331:J331"/>
    <mergeCell ref="B332:J332"/>
    <mergeCell ref="A334:A336"/>
    <mergeCell ref="B334:B336"/>
    <mergeCell ref="C334:C336"/>
    <mergeCell ref="D334:D336"/>
    <mergeCell ref="E334:E336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7" r:id="rId1"/>
  <rowBreaks count="6" manualBreakCount="6">
    <brk id="52" max="11" man="1"/>
    <brk id="103" max="11" man="1"/>
    <brk id="162" max="11" man="1"/>
    <brk id="207" max="255" man="1"/>
    <brk id="256" max="11" man="1"/>
    <brk id="297" max="11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41"/>
  <sheetViews>
    <sheetView showGridLines="0" view="pageBreakPreview" zoomScaleSheetLayoutView="100" zoomScalePageLayoutView="0" workbookViewId="0" topLeftCell="A1">
      <selection activeCell="A38" sqref="A38:H38"/>
    </sheetView>
  </sheetViews>
  <sheetFormatPr defaultColWidth="9.00390625" defaultRowHeight="12"/>
  <cols>
    <col min="1" max="1" width="4.75390625" style="12" customWidth="1"/>
    <col min="2" max="2" width="29.375" style="12" customWidth="1"/>
    <col min="3" max="7" width="14.75390625" style="12" customWidth="1"/>
    <col min="8" max="8" width="9.25390625" style="12" bestFit="1" customWidth="1"/>
    <col min="9" max="9" width="10.25390625" style="12" customWidth="1"/>
    <col min="10" max="16384" width="9.125" style="12" customWidth="1"/>
  </cols>
  <sheetData>
    <row r="1" spans="1:8" s="1133" customFormat="1" ht="15.75">
      <c r="A1" s="1433" t="s">
        <v>589</v>
      </c>
      <c r="B1" s="1433"/>
      <c r="C1" s="1433"/>
      <c r="D1" s="1433"/>
      <c r="E1" s="1433"/>
      <c r="F1" s="1433"/>
      <c r="G1" s="1433"/>
      <c r="H1" s="1433"/>
    </row>
    <row r="2" spans="1:4" ht="15.75">
      <c r="A2" s="1442"/>
      <c r="B2" s="1442"/>
      <c r="C2" s="1442"/>
      <c r="D2" s="1442"/>
    </row>
    <row r="3" spans="1:8" ht="12.75">
      <c r="A3" s="1443" t="s">
        <v>590</v>
      </c>
      <c r="B3" s="1443"/>
      <c r="C3" s="1443"/>
      <c r="D3" s="1443"/>
      <c r="E3" s="1443"/>
      <c r="F3" s="1443"/>
      <c r="G3" s="1443"/>
      <c r="H3" s="1443"/>
    </row>
    <row r="4" spans="7:8" ht="12.75" thickBot="1">
      <c r="G4"/>
      <c r="H4" s="1134" t="s">
        <v>0</v>
      </c>
    </row>
    <row r="5" spans="1:8" ht="12">
      <c r="A5" s="1406" t="s">
        <v>264</v>
      </c>
      <c r="B5" s="1444" t="s">
        <v>591</v>
      </c>
      <c r="C5" s="1412" t="s">
        <v>3</v>
      </c>
      <c r="D5" s="1412" t="s">
        <v>199</v>
      </c>
      <c r="E5" s="1447" t="s">
        <v>4</v>
      </c>
      <c r="F5" s="1447"/>
      <c r="G5" s="1448"/>
      <c r="H5" s="1449" t="s">
        <v>592</v>
      </c>
    </row>
    <row r="6" spans="1:8" ht="12">
      <c r="A6" s="1407"/>
      <c r="B6" s="1445"/>
      <c r="C6" s="1413"/>
      <c r="D6" s="1413"/>
      <c r="E6" s="1452" t="s">
        <v>497</v>
      </c>
      <c r="F6" s="1135" t="s">
        <v>185</v>
      </c>
      <c r="G6" s="1438" t="s">
        <v>498</v>
      </c>
      <c r="H6" s="1450"/>
    </row>
    <row r="7" spans="1:8" ht="24">
      <c r="A7" s="1408"/>
      <c r="B7" s="1446"/>
      <c r="C7" s="1414"/>
      <c r="D7" s="1414"/>
      <c r="E7" s="1411"/>
      <c r="F7" s="1135" t="s">
        <v>593</v>
      </c>
      <c r="G7" s="1414"/>
      <c r="H7" s="1451"/>
    </row>
    <row r="8" spans="1:8" ht="12.75" thickBot="1">
      <c r="A8" s="1136">
        <v>1</v>
      </c>
      <c r="B8" s="1137">
        <v>2</v>
      </c>
      <c r="C8" s="1138">
        <v>3</v>
      </c>
      <c r="D8" s="1105">
        <v>4</v>
      </c>
      <c r="E8" s="1138">
        <v>5</v>
      </c>
      <c r="F8" s="1138">
        <v>6</v>
      </c>
      <c r="G8" s="1139">
        <v>7</v>
      </c>
      <c r="H8" s="1140">
        <v>8</v>
      </c>
    </row>
    <row r="9" spans="1:8" ht="12">
      <c r="A9" s="13"/>
      <c r="B9" s="14"/>
      <c r="C9" s="14"/>
      <c r="D9" s="14" t="s">
        <v>194</v>
      </c>
      <c r="E9" s="1141"/>
      <c r="F9" s="1141"/>
      <c r="G9" s="1002" t="s">
        <v>194</v>
      </c>
      <c r="H9" s="1142" t="s">
        <v>194</v>
      </c>
    </row>
    <row r="10" spans="1:9" ht="12">
      <c r="A10" s="13">
        <v>1</v>
      </c>
      <c r="B10" s="1143" t="s">
        <v>594</v>
      </c>
      <c r="C10" s="1144">
        <f>SUM(C12+C22)</f>
        <v>720428</v>
      </c>
      <c r="D10" s="1145">
        <f>SUM(D12+D22)</f>
        <v>459040.86</v>
      </c>
      <c r="E10" s="1145">
        <f>SUM(E12+E22)</f>
        <v>451540.86</v>
      </c>
      <c r="F10" s="1146">
        <f>SUM(F12+F22)</f>
        <v>52602.200000000004</v>
      </c>
      <c r="G10" s="1147">
        <f>SUM(G12+G22)</f>
        <v>7500</v>
      </c>
      <c r="H10" s="1148">
        <f>SUM(D10/C10)</f>
        <v>0.6371779830878311</v>
      </c>
      <c r="I10" s="1149"/>
    </row>
    <row r="11" spans="1:8" ht="12">
      <c r="A11" s="13"/>
      <c r="B11" s="15"/>
      <c r="C11" s="1150" t="s">
        <v>194</v>
      </c>
      <c r="D11" s="1151" t="s">
        <v>194</v>
      </c>
      <c r="E11" s="1151" t="s">
        <v>194</v>
      </c>
      <c r="F11" s="1152" t="s">
        <v>194</v>
      </c>
      <c r="G11" s="1153" t="s">
        <v>194</v>
      </c>
      <c r="H11" s="72"/>
    </row>
    <row r="12" spans="1:8" ht="12">
      <c r="A12" s="13">
        <v>2</v>
      </c>
      <c r="B12" s="1143" t="s">
        <v>595</v>
      </c>
      <c r="C12" s="1144">
        <f>SUM(C13:C20)</f>
        <v>404138</v>
      </c>
      <c r="D12" s="1145">
        <f>SUM(D13:D20)</f>
        <v>254247</v>
      </c>
      <c r="E12" s="1145">
        <f>SUM(E13:E20)</f>
        <v>254247</v>
      </c>
      <c r="F12" s="1146">
        <f>SUM(F13:F20)</f>
        <v>33404.850000000006</v>
      </c>
      <c r="G12" s="1147">
        <f>SUM(G13:G20)</f>
        <v>0</v>
      </c>
      <c r="H12" s="1148">
        <f>SUM(D12/C12)</f>
        <v>0.6291093636332143</v>
      </c>
    </row>
    <row r="13" spans="1:8" ht="12">
      <c r="A13" s="13"/>
      <c r="B13" s="15"/>
      <c r="C13" s="1150"/>
      <c r="D13" s="1151"/>
      <c r="E13" s="1152"/>
      <c r="F13" s="1152"/>
      <c r="G13" s="1153"/>
      <c r="H13" s="72"/>
    </row>
    <row r="14" spans="1:8" ht="12">
      <c r="A14" s="13">
        <v>3</v>
      </c>
      <c r="B14" s="976" t="s">
        <v>596</v>
      </c>
      <c r="C14" s="1154">
        <v>27330</v>
      </c>
      <c r="D14" s="1155">
        <f aca="true" t="shared" si="0" ref="D14:D20">SUM(E14+G14)</f>
        <v>14371.81</v>
      </c>
      <c r="E14" s="1155">
        <v>14371.81</v>
      </c>
      <c r="F14" s="1156">
        <v>0</v>
      </c>
      <c r="G14" s="1157">
        <v>0</v>
      </c>
      <c r="H14" s="1158">
        <f aca="true" t="shared" si="1" ref="H14:H20">SUM(D14/C14)</f>
        <v>0.5258620563483352</v>
      </c>
    </row>
    <row r="15" spans="1:8" ht="12">
      <c r="A15" s="13">
        <v>4</v>
      </c>
      <c r="B15" s="976" t="s">
        <v>597</v>
      </c>
      <c r="C15" s="1154">
        <v>55800</v>
      </c>
      <c r="D15" s="1155">
        <f>SUM(E15+G15)</f>
        <v>40186.38</v>
      </c>
      <c r="E15" s="1155">
        <v>40186.38</v>
      </c>
      <c r="F15" s="1156">
        <f>956.97+120.05+6361</f>
        <v>7438.02</v>
      </c>
      <c r="G15" s="1157"/>
      <c r="H15" s="1158">
        <f t="shared" si="1"/>
        <v>0.7201860215053763</v>
      </c>
    </row>
    <row r="16" spans="1:8" ht="12">
      <c r="A16" s="13">
        <v>5</v>
      </c>
      <c r="B16" s="976" t="s">
        <v>598</v>
      </c>
      <c r="C16" s="1154">
        <v>89440</v>
      </c>
      <c r="D16" s="1155">
        <f t="shared" si="0"/>
        <v>51769.28</v>
      </c>
      <c r="E16" s="1155">
        <v>51769.28</v>
      </c>
      <c r="F16" s="1156">
        <f>1706.9+248.36+19468.97</f>
        <v>21424.230000000003</v>
      </c>
      <c r="G16" s="1157"/>
      <c r="H16" s="1158">
        <f t="shared" si="1"/>
        <v>0.5788157423971377</v>
      </c>
    </row>
    <row r="17" spans="1:8" ht="12">
      <c r="A17" s="13">
        <v>6</v>
      </c>
      <c r="B17" s="976" t="s">
        <v>599</v>
      </c>
      <c r="C17" s="1159">
        <v>71968</v>
      </c>
      <c r="D17" s="1155">
        <f t="shared" si="0"/>
        <v>50271.75</v>
      </c>
      <c r="E17" s="1155">
        <v>50271.75</v>
      </c>
      <c r="F17" s="1156"/>
      <c r="G17" s="1157"/>
      <c r="H17" s="1158">
        <f t="shared" si="1"/>
        <v>0.6985292074255225</v>
      </c>
    </row>
    <row r="18" spans="1:10" ht="12">
      <c r="A18" s="13">
        <v>7</v>
      </c>
      <c r="B18" s="976" t="s">
        <v>600</v>
      </c>
      <c r="C18" s="1159">
        <v>41900</v>
      </c>
      <c r="D18" s="1155">
        <f t="shared" si="0"/>
        <v>24142.52</v>
      </c>
      <c r="E18" s="1155">
        <v>24142.52</v>
      </c>
      <c r="F18" s="1156"/>
      <c r="G18" s="1157"/>
      <c r="H18" s="1158">
        <f t="shared" si="1"/>
        <v>0.5761937947494034</v>
      </c>
      <c r="J18" s="1160"/>
    </row>
    <row r="19" spans="1:8" ht="12">
      <c r="A19" s="13">
        <v>8</v>
      </c>
      <c r="B19" s="976" t="s">
        <v>601</v>
      </c>
      <c r="C19" s="1159">
        <v>48100</v>
      </c>
      <c r="D19" s="1155">
        <f t="shared" si="0"/>
        <v>31717.62</v>
      </c>
      <c r="E19" s="1155">
        <v>31717.62</v>
      </c>
      <c r="F19" s="1156">
        <v>1337</v>
      </c>
      <c r="G19" s="1157"/>
      <c r="H19" s="1158">
        <f t="shared" si="1"/>
        <v>0.6594099792099792</v>
      </c>
    </row>
    <row r="20" spans="1:8" ht="12">
      <c r="A20" s="13">
        <v>9</v>
      </c>
      <c r="B20" s="976" t="s">
        <v>602</v>
      </c>
      <c r="C20" s="1159">
        <v>69600</v>
      </c>
      <c r="D20" s="1155">
        <f t="shared" si="0"/>
        <v>41787.64</v>
      </c>
      <c r="E20" s="1155">
        <v>41787.64</v>
      </c>
      <c r="F20" s="1156">
        <v>3205.6</v>
      </c>
      <c r="G20" s="1157"/>
      <c r="H20" s="1158">
        <f t="shared" si="1"/>
        <v>0.6003971264367816</v>
      </c>
    </row>
    <row r="21" spans="1:8" ht="12">
      <c r="A21" s="13"/>
      <c r="B21" s="15"/>
      <c r="C21" s="1161"/>
      <c r="D21" s="1151"/>
      <c r="E21" s="1152"/>
      <c r="F21" s="1152"/>
      <c r="G21" s="1153"/>
      <c r="H21" s="72"/>
    </row>
    <row r="22" spans="1:8" ht="12">
      <c r="A22" s="13">
        <v>10</v>
      </c>
      <c r="B22" s="1143" t="s">
        <v>603</v>
      </c>
      <c r="C22" s="1162">
        <f>SUM(C24:C35)</f>
        <v>316290</v>
      </c>
      <c r="D22" s="1145">
        <f>SUM(D24:D35)</f>
        <v>204793.86</v>
      </c>
      <c r="E22" s="1145">
        <f>SUM(E24:E35)</f>
        <v>197293.86</v>
      </c>
      <c r="F22" s="1146">
        <f>SUM(F24:F35)</f>
        <v>19197.35</v>
      </c>
      <c r="G22" s="1147">
        <f>SUM(G24:G35)</f>
        <v>7500</v>
      </c>
      <c r="H22" s="1148">
        <f>SUM(D22/C22)</f>
        <v>0.6474876221189414</v>
      </c>
    </row>
    <row r="23" spans="1:8" ht="12">
      <c r="A23" s="13"/>
      <c r="B23" s="15"/>
      <c r="C23" s="1161"/>
      <c r="D23" s="1151"/>
      <c r="E23" s="1152"/>
      <c r="F23" s="1152"/>
      <c r="G23" s="1153"/>
      <c r="H23" s="72"/>
    </row>
    <row r="24" spans="1:8" ht="12">
      <c r="A24" s="13">
        <v>11</v>
      </c>
      <c r="B24" s="976" t="s">
        <v>604</v>
      </c>
      <c r="C24" s="1159">
        <v>26405</v>
      </c>
      <c r="D24" s="1155">
        <f>SUM(E24+G24)</f>
        <v>23304.48</v>
      </c>
      <c r="E24" s="1155">
        <v>23304.48</v>
      </c>
      <c r="F24" s="1156"/>
      <c r="G24" s="1157"/>
      <c r="H24" s="1158">
        <f>SUM(D24/C24)</f>
        <v>0.8825782995644764</v>
      </c>
    </row>
    <row r="25" spans="1:8" ht="12">
      <c r="A25" s="13">
        <v>12</v>
      </c>
      <c r="B25" s="976" t="s">
        <v>605</v>
      </c>
      <c r="C25" s="1159">
        <v>21700</v>
      </c>
      <c r="D25" s="1155">
        <f aca="true" t="shared" si="2" ref="D25:D34">SUM(E25+G25)</f>
        <v>12201.7</v>
      </c>
      <c r="E25" s="1155">
        <v>12201.7</v>
      </c>
      <c r="F25" s="1156"/>
      <c r="G25" s="1157"/>
      <c r="H25" s="1158">
        <f>SUM(D25/C25)</f>
        <v>0.5622903225806452</v>
      </c>
    </row>
    <row r="26" spans="1:8" ht="13.5">
      <c r="A26" s="13">
        <v>13</v>
      </c>
      <c r="B26" s="976" t="s">
        <v>606</v>
      </c>
      <c r="C26" s="1159">
        <v>14215</v>
      </c>
      <c r="D26" s="1155">
        <f t="shared" si="2"/>
        <v>8092.32</v>
      </c>
      <c r="E26" s="1155">
        <v>8092.32</v>
      </c>
      <c r="F26" s="1156"/>
      <c r="G26" s="1157"/>
      <c r="H26" s="1158">
        <f aca="true" t="shared" si="3" ref="H26:H34">SUM(D26/C26)</f>
        <v>0.5692803376714738</v>
      </c>
    </row>
    <row r="27" spans="1:8" ht="12">
      <c r="A27" s="13">
        <v>14</v>
      </c>
      <c r="B27" s="976" t="s">
        <v>607</v>
      </c>
      <c r="C27" s="1159">
        <v>53527</v>
      </c>
      <c r="D27" s="1155">
        <f t="shared" si="2"/>
        <v>31392.84</v>
      </c>
      <c r="E27" s="1155">
        <v>31392.84</v>
      </c>
      <c r="F27" s="1156">
        <f>1549.84+186.76+10918.97</f>
        <v>12655.57</v>
      </c>
      <c r="G27" s="1157"/>
      <c r="H27" s="1158">
        <f t="shared" si="3"/>
        <v>0.5864860724494181</v>
      </c>
    </row>
    <row r="28" spans="1:8" ht="13.5">
      <c r="A28" s="13">
        <v>15</v>
      </c>
      <c r="B28" s="976" t="s">
        <v>608</v>
      </c>
      <c r="C28" s="1159">
        <v>21093</v>
      </c>
      <c r="D28" s="1155">
        <f>SUM(E28+G28)</f>
        <v>16615.31</v>
      </c>
      <c r="E28" s="1155">
        <v>16615.31</v>
      </c>
      <c r="F28" s="1156"/>
      <c r="G28" s="1157"/>
      <c r="H28" s="1158">
        <f t="shared" si="3"/>
        <v>0.7877167780780354</v>
      </c>
    </row>
    <row r="29" spans="1:8" ht="12">
      <c r="A29" s="13">
        <v>16</v>
      </c>
      <c r="B29" s="976" t="s">
        <v>609</v>
      </c>
      <c r="C29" s="1159">
        <v>5000</v>
      </c>
      <c r="D29" s="1155">
        <f t="shared" si="2"/>
        <v>2161.53</v>
      </c>
      <c r="E29" s="1155">
        <v>2161.53</v>
      </c>
      <c r="F29" s="1156"/>
      <c r="G29" s="1157"/>
      <c r="H29" s="1158">
        <f t="shared" si="3"/>
        <v>0.432306</v>
      </c>
    </row>
    <row r="30" spans="1:8" ht="12">
      <c r="A30" s="13">
        <v>17</v>
      </c>
      <c r="B30" s="976" t="s">
        <v>610</v>
      </c>
      <c r="C30" s="1159">
        <v>46550</v>
      </c>
      <c r="D30" s="1155">
        <f t="shared" si="2"/>
        <v>34280.68</v>
      </c>
      <c r="E30" s="1155">
        <v>34280.68</v>
      </c>
      <c r="F30" s="1156">
        <v>3628.75</v>
      </c>
      <c r="G30" s="1157"/>
      <c r="H30" s="1158">
        <f t="shared" si="3"/>
        <v>0.736427067669173</v>
      </c>
    </row>
    <row r="31" spans="1:8" ht="12">
      <c r="A31" s="13">
        <v>18</v>
      </c>
      <c r="B31" s="976" t="s">
        <v>611</v>
      </c>
      <c r="C31" s="1159">
        <v>27900</v>
      </c>
      <c r="D31" s="1155">
        <f t="shared" si="2"/>
        <v>14148.72</v>
      </c>
      <c r="E31" s="1155">
        <v>14148.72</v>
      </c>
      <c r="F31" s="1156">
        <f>423.92+59.42+2429.69</f>
        <v>2913.03</v>
      </c>
      <c r="G31" s="1157"/>
      <c r="H31" s="1158">
        <f t="shared" si="3"/>
        <v>0.5071225806451612</v>
      </c>
    </row>
    <row r="32" spans="1:8" ht="12">
      <c r="A32" s="13">
        <v>19</v>
      </c>
      <c r="B32" s="976" t="s">
        <v>612</v>
      </c>
      <c r="C32" s="1159">
        <v>54550</v>
      </c>
      <c r="D32" s="1155">
        <f t="shared" si="2"/>
        <v>36551.42</v>
      </c>
      <c r="E32" s="1155">
        <v>29051.42</v>
      </c>
      <c r="F32" s="1156"/>
      <c r="G32" s="1157">
        <v>7500</v>
      </c>
      <c r="H32" s="1158">
        <f t="shared" si="3"/>
        <v>0.670053528872594</v>
      </c>
    </row>
    <row r="33" spans="1:8" ht="13.5">
      <c r="A33" s="13">
        <v>20</v>
      </c>
      <c r="B33" s="976" t="s">
        <v>613</v>
      </c>
      <c r="C33" s="1159">
        <v>9750</v>
      </c>
      <c r="D33" s="1155">
        <f t="shared" si="2"/>
        <v>3650</v>
      </c>
      <c r="E33" s="1155">
        <v>3650</v>
      </c>
      <c r="F33" s="1156"/>
      <c r="G33" s="1157"/>
      <c r="H33" s="1158">
        <f t="shared" si="3"/>
        <v>0.37435897435897436</v>
      </c>
    </row>
    <row r="34" spans="1:10" ht="12">
      <c r="A34" s="13">
        <v>21</v>
      </c>
      <c r="B34" s="976" t="s">
        <v>614</v>
      </c>
      <c r="C34" s="1159">
        <v>24800</v>
      </c>
      <c r="D34" s="1155">
        <f t="shared" si="2"/>
        <v>15500.99</v>
      </c>
      <c r="E34" s="1155">
        <v>15500.99</v>
      </c>
      <c r="F34" s="1156"/>
      <c r="G34" s="1157"/>
      <c r="H34" s="1158">
        <f t="shared" si="3"/>
        <v>0.6250399193548387</v>
      </c>
      <c r="J34" s="1160"/>
    </row>
    <row r="35" spans="1:8" ht="12.75" thickBot="1">
      <c r="A35" s="1028">
        <v>22</v>
      </c>
      <c r="B35" s="1030" t="s">
        <v>615</v>
      </c>
      <c r="C35" s="1163">
        <v>10800</v>
      </c>
      <c r="D35" s="1164">
        <f>SUM(E35+G35)</f>
        <v>6893.87</v>
      </c>
      <c r="E35" s="1164">
        <v>6893.87</v>
      </c>
      <c r="F35" s="1165"/>
      <c r="G35" s="1166"/>
      <c r="H35" s="798">
        <f>SUM(D35/C35)</f>
        <v>0.6383212962962963</v>
      </c>
    </row>
    <row r="36" spans="1:10" ht="33.75" customHeight="1">
      <c r="A36" s="1002"/>
      <c r="B36" s="1048"/>
      <c r="C36" s="1167"/>
      <c r="D36" s="1167"/>
      <c r="E36" s="1167"/>
      <c r="F36" s="1167"/>
      <c r="G36" s="1167"/>
      <c r="J36" s="1160"/>
    </row>
    <row r="37" spans="1:8" ht="33.75" customHeight="1">
      <c r="A37" s="1439" t="s">
        <v>616</v>
      </c>
      <c r="B37" s="1440"/>
      <c r="C37" s="1440"/>
      <c r="D37" s="1440"/>
      <c r="E37" s="1440"/>
      <c r="F37" s="1440"/>
      <c r="G37" s="1440"/>
      <c r="H37" s="1440"/>
    </row>
    <row r="38" spans="1:8" ht="32.25" customHeight="1">
      <c r="A38" s="1441" t="s">
        <v>617</v>
      </c>
      <c r="B38" s="1440"/>
      <c r="C38" s="1440"/>
      <c r="D38" s="1440"/>
      <c r="E38" s="1440"/>
      <c r="F38" s="1440"/>
      <c r="G38" s="1440"/>
      <c r="H38" s="1440"/>
    </row>
    <row r="39" spans="1:8" ht="27" customHeight="1">
      <c r="A39" s="1441" t="s">
        <v>618</v>
      </c>
      <c r="B39" s="1440"/>
      <c r="C39" s="1440"/>
      <c r="D39" s="1440"/>
      <c r="E39" s="1440"/>
      <c r="F39" s="1440"/>
      <c r="G39" s="1440"/>
      <c r="H39" s="1440"/>
    </row>
    <row r="40" spans="1:8" ht="40.5" customHeight="1">
      <c r="A40" s="1441" t="s">
        <v>670</v>
      </c>
      <c r="B40" s="1440"/>
      <c r="C40" s="1440"/>
      <c r="D40" s="1440"/>
      <c r="E40" s="1440"/>
      <c r="F40" s="1440"/>
      <c r="G40" s="1440"/>
      <c r="H40" s="1440"/>
    </row>
    <row r="41" spans="1:8" ht="63.75" customHeight="1">
      <c r="A41" s="1441" t="s">
        <v>673</v>
      </c>
      <c r="B41" s="1440"/>
      <c r="C41" s="1440"/>
      <c r="D41" s="1440"/>
      <c r="E41" s="1440"/>
      <c r="F41" s="1440"/>
      <c r="G41" s="1440"/>
      <c r="H41" s="1440"/>
    </row>
  </sheetData>
  <sheetProtection/>
  <mergeCells count="16">
    <mergeCell ref="A1:H1"/>
    <mergeCell ref="A2:D2"/>
    <mergeCell ref="A3:H3"/>
    <mergeCell ref="A5:A7"/>
    <mergeCell ref="B5:B7"/>
    <mergeCell ref="C5:C7"/>
    <mergeCell ref="D5:D7"/>
    <mergeCell ref="E5:G5"/>
    <mergeCell ref="H5:H7"/>
    <mergeCell ref="E6:E7"/>
    <mergeCell ref="G6:G7"/>
    <mergeCell ref="A37:H37"/>
    <mergeCell ref="A38:H38"/>
    <mergeCell ref="A39:H39"/>
    <mergeCell ref="A40:H40"/>
    <mergeCell ref="A41:H41"/>
  </mergeCells>
  <printOptions horizontalCentered="1"/>
  <pageMargins left="0.1968503937007874" right="0.1968503937007874" top="0.3937007874015748" bottom="0.7480314960629921" header="0.31496062992125984" footer="0.31496062992125984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M150"/>
  <sheetViews>
    <sheetView showGridLines="0" view="pageBreakPreview" zoomScaleSheetLayoutView="100" zoomScalePageLayoutView="0" workbookViewId="0" topLeftCell="A1">
      <selection activeCell="A38" sqref="A38"/>
    </sheetView>
  </sheetViews>
  <sheetFormatPr defaultColWidth="9.00390625" defaultRowHeight="12"/>
  <cols>
    <col min="1" max="1" width="5.25390625" style="1169" customWidth="1"/>
    <col min="2" max="2" width="38.75390625" style="1169" customWidth="1"/>
    <col min="3" max="3" width="6.75390625" style="1169" customWidth="1"/>
    <col min="4" max="4" width="9.375" style="1169" customWidth="1"/>
    <col min="5" max="5" width="13.375" style="1169" bestFit="1" customWidth="1"/>
    <col min="6" max="6" width="15.75390625" style="1169" customWidth="1"/>
    <col min="7" max="7" width="9.625" style="1169" customWidth="1"/>
    <col min="8" max="8" width="12.25390625" style="1169" bestFit="1" customWidth="1"/>
    <col min="9" max="9" width="9.125" style="1169" customWidth="1"/>
    <col min="10" max="10" width="10.375" style="1169" customWidth="1"/>
    <col min="11" max="11" width="13.375" style="1169" hidden="1" customWidth="1"/>
    <col min="12" max="12" width="14.375" style="1169" customWidth="1"/>
    <col min="13" max="13" width="12.25390625" style="1169" bestFit="1" customWidth="1"/>
    <col min="14" max="16384" width="9.125" style="1169" customWidth="1"/>
  </cols>
  <sheetData>
    <row r="1" spans="1:7" s="1168" customFormat="1" ht="15.75">
      <c r="A1" s="1453" t="s">
        <v>619</v>
      </c>
      <c r="B1" s="1453"/>
      <c r="C1" s="1453"/>
      <c r="D1" s="1453"/>
      <c r="E1" s="1453"/>
      <c r="F1" s="1453"/>
      <c r="G1" s="1453"/>
    </row>
    <row r="2" spans="1:7" ht="15">
      <c r="A2" s="1454" t="s">
        <v>620</v>
      </c>
      <c r="B2" s="1454"/>
      <c r="C2" s="1454"/>
      <c r="D2" s="1454"/>
      <c r="E2" s="1454"/>
      <c r="F2" s="1454"/>
      <c r="G2" s="1454"/>
    </row>
    <row r="3" spans="1:7" ht="12" customHeight="1" thickBot="1">
      <c r="A3" s="1170"/>
      <c r="B3" s="1170"/>
      <c r="C3" s="1170"/>
      <c r="D3" s="1170"/>
      <c r="E3" s="1170"/>
      <c r="F3" s="1170"/>
      <c r="G3" s="1171" t="s">
        <v>0</v>
      </c>
    </row>
    <row r="4" spans="1:7" ht="24" customHeight="1">
      <c r="A4" s="1172" t="s">
        <v>264</v>
      </c>
      <c r="B4" s="1173" t="s">
        <v>27</v>
      </c>
      <c r="C4" s="1173" t="s">
        <v>1</v>
      </c>
      <c r="D4" s="1173" t="s">
        <v>25</v>
      </c>
      <c r="E4" s="1174" t="s">
        <v>3</v>
      </c>
      <c r="F4" s="1175" t="s">
        <v>199</v>
      </c>
      <c r="G4" s="1176" t="s">
        <v>621</v>
      </c>
    </row>
    <row r="5" spans="1:7" ht="12" customHeight="1" thickBot="1">
      <c r="A5" s="1177"/>
      <c r="B5" s="1178"/>
      <c r="C5" s="1178"/>
      <c r="D5" s="1178"/>
      <c r="E5" s="1179"/>
      <c r="F5" s="1180"/>
      <c r="G5" s="1181" t="s">
        <v>622</v>
      </c>
    </row>
    <row r="6" spans="1:7" s="1186" customFormat="1" ht="12">
      <c r="A6" s="1182">
        <v>1</v>
      </c>
      <c r="B6" s="1183">
        <v>2</v>
      </c>
      <c r="C6" s="1183">
        <v>3</v>
      </c>
      <c r="D6" s="1183">
        <v>4</v>
      </c>
      <c r="E6" s="1183">
        <v>5</v>
      </c>
      <c r="F6" s="1184">
        <v>6</v>
      </c>
      <c r="G6" s="1185">
        <v>7</v>
      </c>
    </row>
    <row r="7" spans="1:7" ht="9.75" customHeight="1">
      <c r="A7" s="1187"/>
      <c r="B7" s="1188"/>
      <c r="C7" s="1188"/>
      <c r="D7" s="1188"/>
      <c r="E7" s="1188"/>
      <c r="F7" s="1188"/>
      <c r="G7" s="1189"/>
    </row>
    <row r="8" spans="1:7" ht="12">
      <c r="A8" s="1187">
        <v>1</v>
      </c>
      <c r="B8" s="1188" t="s">
        <v>623</v>
      </c>
      <c r="C8" s="1190"/>
      <c r="D8" s="1190"/>
      <c r="E8" s="1191"/>
      <c r="F8" s="1192"/>
      <c r="G8" s="1189"/>
    </row>
    <row r="9" spans="1:7" ht="12">
      <c r="A9" s="1187"/>
      <c r="B9" s="1188" t="s">
        <v>624</v>
      </c>
      <c r="C9" s="1190"/>
      <c r="D9" s="1190"/>
      <c r="E9" s="1193">
        <f>SUM(E11:E13)</f>
        <v>7108776</v>
      </c>
      <c r="F9" s="1194">
        <f>SUM(F11:F13)</f>
        <v>4693427.22</v>
      </c>
      <c r="G9" s="1148">
        <f>SUM(F9/E9)</f>
        <v>0.6602300058406679</v>
      </c>
    </row>
    <row r="10" spans="1:7" ht="12">
      <c r="A10" s="1195"/>
      <c r="B10" s="1188" t="s">
        <v>625</v>
      </c>
      <c r="C10" s="1196"/>
      <c r="D10" s="1196"/>
      <c r="E10" s="1196"/>
      <c r="F10" s="1197"/>
      <c r="G10" s="1198"/>
    </row>
    <row r="11" spans="1:7" ht="12">
      <c r="A11" s="1187"/>
      <c r="B11" s="1188" t="s">
        <v>626</v>
      </c>
      <c r="C11" s="1190">
        <v>700</v>
      </c>
      <c r="D11" s="1190">
        <v>70001</v>
      </c>
      <c r="E11" s="1191">
        <v>2653241</v>
      </c>
      <c r="F11" s="1192">
        <v>2500000</v>
      </c>
      <c r="G11" s="72">
        <f>SUM(F11/E11)</f>
        <v>0.9422438444151888</v>
      </c>
    </row>
    <row r="12" spans="1:7" ht="12">
      <c r="A12" s="1187"/>
      <c r="B12" s="1188" t="s">
        <v>627</v>
      </c>
      <c r="C12" s="1190">
        <v>700</v>
      </c>
      <c r="D12" s="1190">
        <v>70001</v>
      </c>
      <c r="E12" s="1191">
        <v>4300000</v>
      </c>
      <c r="F12" s="1192">
        <f>1275000+800000</f>
        <v>2075000</v>
      </c>
      <c r="G12" s="72">
        <f>SUM(F12/E12)</f>
        <v>0.48255813953488375</v>
      </c>
    </row>
    <row r="13" spans="1:11" ht="12">
      <c r="A13" s="1199"/>
      <c r="B13" s="1200" t="s">
        <v>628</v>
      </c>
      <c r="C13" s="1201">
        <v>900</v>
      </c>
      <c r="D13" s="1201">
        <v>90095</v>
      </c>
      <c r="E13" s="1202">
        <v>155535</v>
      </c>
      <c r="F13" s="1203">
        <v>118427.22</v>
      </c>
      <c r="G13" s="1158">
        <f>SUM(F13/E13)</f>
        <v>0.7614184588677789</v>
      </c>
      <c r="H13" s="1204"/>
      <c r="I13" s="1204"/>
      <c r="J13" s="1204"/>
      <c r="K13" s="1205"/>
    </row>
    <row r="14" spans="1:11" ht="12">
      <c r="A14" s="1206"/>
      <c r="B14" s="1207"/>
      <c r="C14" s="1208"/>
      <c r="D14" s="1208"/>
      <c r="E14" s="1209"/>
      <c r="F14" s="1209"/>
      <c r="G14" s="73"/>
      <c r="J14" s="1204"/>
      <c r="K14" s="1204"/>
    </row>
    <row r="15" spans="1:11" ht="10.5" customHeight="1">
      <c r="A15" s="1187">
        <v>2</v>
      </c>
      <c r="B15" s="1188" t="s">
        <v>629</v>
      </c>
      <c r="C15" s="1190"/>
      <c r="D15" s="1190"/>
      <c r="E15" s="1191"/>
      <c r="F15" s="1210"/>
      <c r="G15" s="1211"/>
      <c r="J15" s="1204"/>
      <c r="K15" s="1204"/>
    </row>
    <row r="16" spans="1:11" ht="12.75" customHeight="1">
      <c r="A16" s="1187"/>
      <c r="B16" s="1188" t="s">
        <v>630</v>
      </c>
      <c r="C16" s="1190"/>
      <c r="D16" s="1212"/>
      <c r="E16" s="1213">
        <f>SUM(E17)</f>
        <v>1350000</v>
      </c>
      <c r="F16" s="1214">
        <f>SUM(F17)</f>
        <v>0</v>
      </c>
      <c r="G16" s="1215">
        <f>SUM(F16/E16)</f>
        <v>0</v>
      </c>
      <c r="J16" s="1204"/>
      <c r="K16" s="1204"/>
    </row>
    <row r="17" spans="1:11" ht="12">
      <c r="A17" s="1216"/>
      <c r="B17" s="1200" t="s">
        <v>631</v>
      </c>
      <c r="C17" s="1201">
        <v>900</v>
      </c>
      <c r="D17" s="1217">
        <v>90002</v>
      </c>
      <c r="E17" s="1218">
        <v>1350000</v>
      </c>
      <c r="F17" s="1219">
        <v>0</v>
      </c>
      <c r="G17" s="1158">
        <f>SUM(F17/E17)</f>
        <v>0</v>
      </c>
      <c r="J17" s="1204"/>
      <c r="K17" s="1204"/>
    </row>
    <row r="18" spans="1:11" ht="12">
      <c r="A18" s="1187"/>
      <c r="B18" s="1188"/>
      <c r="C18" s="1190"/>
      <c r="D18" s="1190"/>
      <c r="E18" s="1191"/>
      <c r="F18" s="1191"/>
      <c r="G18" s="1220"/>
      <c r="J18" s="1204"/>
      <c r="K18" s="1205"/>
    </row>
    <row r="19" spans="1:11" ht="12">
      <c r="A19" s="1187">
        <v>3</v>
      </c>
      <c r="B19" s="1188" t="s">
        <v>632</v>
      </c>
      <c r="C19" s="1190"/>
      <c r="D19" s="1190"/>
      <c r="E19" s="1221">
        <f>SUM(E20:E23)</f>
        <v>2088924</v>
      </c>
      <c r="F19" s="1222">
        <f>SUM(F20:F23)</f>
        <v>1521027.25</v>
      </c>
      <c r="G19" s="1148">
        <f>SUM(F19/E19)</f>
        <v>0.7281391041512281</v>
      </c>
      <c r="J19" s="1204"/>
      <c r="K19" s="1205"/>
    </row>
    <row r="20" spans="1:13" ht="12">
      <c r="A20" s="1187"/>
      <c r="B20" s="1188" t="s">
        <v>633</v>
      </c>
      <c r="C20" s="1190">
        <v>801</v>
      </c>
      <c r="D20" s="1212">
        <v>80101</v>
      </c>
      <c r="E20" s="1223">
        <v>2012604</v>
      </c>
      <c r="F20" s="1224">
        <v>1457616.8</v>
      </c>
      <c r="G20" s="72">
        <f>SUM(F20/E20)</f>
        <v>0.724244212969864</v>
      </c>
      <c r="H20" s="1205"/>
      <c r="J20" s="1204"/>
      <c r="K20" s="1204"/>
      <c r="L20" s="1205"/>
      <c r="M20" s="1205"/>
    </row>
    <row r="21" spans="1:12" ht="12">
      <c r="A21" s="1187"/>
      <c r="B21" s="1188" t="s">
        <v>634</v>
      </c>
      <c r="C21" s="1190">
        <v>801</v>
      </c>
      <c r="D21" s="1212">
        <v>80103</v>
      </c>
      <c r="E21" s="1223">
        <v>40000</v>
      </c>
      <c r="F21" s="1224">
        <v>27890.45</v>
      </c>
      <c r="G21" s="72">
        <f>SUM(F21/E21)</f>
        <v>0.69726125</v>
      </c>
      <c r="J21" s="1204"/>
      <c r="K21" s="1204"/>
      <c r="L21" s="1205"/>
    </row>
    <row r="22" spans="1:12" ht="12">
      <c r="A22" s="1187"/>
      <c r="B22" s="1188" t="s">
        <v>635</v>
      </c>
      <c r="C22" s="1190">
        <v>801</v>
      </c>
      <c r="D22" s="1212">
        <v>80146</v>
      </c>
      <c r="E22" s="1223">
        <v>5800</v>
      </c>
      <c r="F22" s="1225">
        <v>5000</v>
      </c>
      <c r="G22" s="72">
        <f>SUM(F22/E22)</f>
        <v>0.8620689655172413</v>
      </c>
      <c r="J22" s="1204"/>
      <c r="K22" s="1205"/>
      <c r="L22" s="1205"/>
    </row>
    <row r="23" spans="1:11" ht="12">
      <c r="A23" s="1216"/>
      <c r="B23" s="1200" t="s">
        <v>636</v>
      </c>
      <c r="C23" s="1201">
        <v>854</v>
      </c>
      <c r="D23" s="1217">
        <v>85415</v>
      </c>
      <c r="E23" s="1218">
        <v>30520</v>
      </c>
      <c r="F23" s="1219">
        <v>30520</v>
      </c>
      <c r="G23" s="1158">
        <f>SUM(F23/E23)</f>
        <v>1</v>
      </c>
      <c r="J23" s="1204"/>
      <c r="K23" s="1226"/>
    </row>
    <row r="24" spans="1:12" ht="12">
      <c r="A24" s="1187"/>
      <c r="B24" s="1188"/>
      <c r="C24" s="1212"/>
      <c r="D24" s="1212"/>
      <c r="E24" s="1223"/>
      <c r="F24" s="1224"/>
      <c r="G24" s="72"/>
      <c r="J24" s="1204"/>
      <c r="K24" s="1204"/>
      <c r="L24" s="1205"/>
    </row>
    <row r="25" spans="1:11" ht="12">
      <c r="A25" s="1187">
        <v>4</v>
      </c>
      <c r="B25" s="1188" t="s">
        <v>637</v>
      </c>
      <c r="C25" s="1212"/>
      <c r="D25" s="1212"/>
      <c r="E25" s="1221">
        <f>SUM(E26:E30)</f>
        <v>1367182</v>
      </c>
      <c r="F25" s="1222">
        <f>SUM(F26:F30)</f>
        <v>1040090.68</v>
      </c>
      <c r="G25" s="1148">
        <f aca="true" t="shared" si="0" ref="G25:G30">SUM(F25/E25)</f>
        <v>0.760755100637662</v>
      </c>
      <c r="J25" s="1204"/>
      <c r="K25" s="1204"/>
    </row>
    <row r="26" spans="1:13" ht="12">
      <c r="A26" s="1187"/>
      <c r="B26" s="1188" t="s">
        <v>633</v>
      </c>
      <c r="C26" s="1212">
        <v>801</v>
      </c>
      <c r="D26" s="1227">
        <v>80101</v>
      </c>
      <c r="E26" s="1191">
        <v>1218700</v>
      </c>
      <c r="F26" s="1192">
        <v>924401.8</v>
      </c>
      <c r="G26" s="72">
        <f t="shared" si="0"/>
        <v>0.7585146467547387</v>
      </c>
      <c r="J26" s="1204"/>
      <c r="K26" s="1204"/>
      <c r="L26" s="1205"/>
      <c r="M26" s="1205"/>
    </row>
    <row r="27" spans="1:7" ht="12">
      <c r="A27" s="1187"/>
      <c r="B27" s="1188" t="s">
        <v>638</v>
      </c>
      <c r="C27" s="1190">
        <v>801</v>
      </c>
      <c r="D27" s="1190">
        <v>80101</v>
      </c>
      <c r="E27" s="1191">
        <v>11300</v>
      </c>
      <c r="F27" s="1192">
        <v>11299.99</v>
      </c>
      <c r="G27" s="72">
        <f t="shared" si="0"/>
        <v>0.9999991150442478</v>
      </c>
    </row>
    <row r="28" spans="1:11" ht="12">
      <c r="A28" s="1187"/>
      <c r="B28" s="1188" t="s">
        <v>634</v>
      </c>
      <c r="C28" s="1212">
        <v>801</v>
      </c>
      <c r="D28" s="1227">
        <v>80103</v>
      </c>
      <c r="E28" s="1191">
        <v>113000</v>
      </c>
      <c r="F28" s="1192">
        <v>82268.89</v>
      </c>
      <c r="G28" s="72">
        <f t="shared" si="0"/>
        <v>0.7280432743362831</v>
      </c>
      <c r="J28" s="1204"/>
      <c r="K28" s="1204"/>
    </row>
    <row r="29" spans="1:7" ht="12">
      <c r="A29" s="1187"/>
      <c r="B29" s="1188" t="s">
        <v>635</v>
      </c>
      <c r="C29" s="1212">
        <v>801</v>
      </c>
      <c r="D29" s="1190">
        <v>80146</v>
      </c>
      <c r="E29" s="1191">
        <v>13962</v>
      </c>
      <c r="F29" s="1192">
        <v>11900</v>
      </c>
      <c r="G29" s="72">
        <f t="shared" si="0"/>
        <v>0.8523134221458244</v>
      </c>
    </row>
    <row r="30" spans="1:10" ht="12">
      <c r="A30" s="1216"/>
      <c r="B30" s="1200" t="s">
        <v>636</v>
      </c>
      <c r="C30" s="1201">
        <v>854</v>
      </c>
      <c r="D30" s="1217">
        <v>85415</v>
      </c>
      <c r="E30" s="1202">
        <v>10220</v>
      </c>
      <c r="F30" s="1203">
        <v>10220</v>
      </c>
      <c r="G30" s="1158">
        <f t="shared" si="0"/>
        <v>1</v>
      </c>
      <c r="J30" s="1204"/>
    </row>
    <row r="31" spans="1:7" ht="12">
      <c r="A31" s="1187"/>
      <c r="B31" s="1188"/>
      <c r="C31" s="1190"/>
      <c r="D31" s="1190"/>
      <c r="E31" s="1191"/>
      <c r="F31" s="1192"/>
      <c r="G31" s="72"/>
    </row>
    <row r="32" spans="1:12" ht="12">
      <c r="A32" s="1187">
        <v>5</v>
      </c>
      <c r="B32" s="1188" t="s">
        <v>639</v>
      </c>
      <c r="C32" s="1190"/>
      <c r="D32" s="1190"/>
      <c r="E32" s="1193">
        <f>SUM(E33:E37)</f>
        <v>2927152</v>
      </c>
      <c r="F32" s="1194">
        <f>SUM(F33:F37)</f>
        <v>2167029.24</v>
      </c>
      <c r="G32" s="1148">
        <f aca="true" t="shared" si="1" ref="G32:G37">SUM(F32/E32)</f>
        <v>0.7403200243786453</v>
      </c>
      <c r="J32" s="1205"/>
      <c r="L32" s="1205"/>
    </row>
    <row r="33" spans="1:12" ht="12">
      <c r="A33" s="1187"/>
      <c r="B33" s="1188" t="s">
        <v>633</v>
      </c>
      <c r="C33" s="1190">
        <v>801</v>
      </c>
      <c r="D33" s="1190">
        <v>80101</v>
      </c>
      <c r="E33" s="1191">
        <f>2744489+2852</f>
        <v>2747341</v>
      </c>
      <c r="F33" s="1192">
        <v>1995419.22</v>
      </c>
      <c r="G33" s="72">
        <f t="shared" si="1"/>
        <v>0.7263092641211993</v>
      </c>
      <c r="J33" s="1204"/>
      <c r="L33" s="1205"/>
    </row>
    <row r="34" spans="1:7" ht="12">
      <c r="A34" s="1187"/>
      <c r="B34" s="1188" t="s">
        <v>638</v>
      </c>
      <c r="C34" s="1190">
        <v>801</v>
      </c>
      <c r="D34" s="1190">
        <v>80101</v>
      </c>
      <c r="E34" s="1191">
        <v>92711</v>
      </c>
      <c r="F34" s="1192">
        <f>16988.5+75721.52</f>
        <v>92710.02</v>
      </c>
      <c r="G34" s="72">
        <f t="shared" si="1"/>
        <v>0.999989429517533</v>
      </c>
    </row>
    <row r="35" spans="1:7" ht="12">
      <c r="A35" s="1187"/>
      <c r="B35" s="1188" t="s">
        <v>634</v>
      </c>
      <c r="C35" s="1190">
        <v>801</v>
      </c>
      <c r="D35" s="1190">
        <v>80103</v>
      </c>
      <c r="E35" s="1191">
        <v>44000</v>
      </c>
      <c r="F35" s="1192">
        <v>37000</v>
      </c>
      <c r="G35" s="72">
        <f t="shared" si="1"/>
        <v>0.8409090909090909</v>
      </c>
    </row>
    <row r="36" spans="1:7" ht="12">
      <c r="A36" s="1187"/>
      <c r="B36" s="1188" t="s">
        <v>635</v>
      </c>
      <c r="C36" s="1190">
        <v>801</v>
      </c>
      <c r="D36" s="1190">
        <v>80146</v>
      </c>
      <c r="E36" s="1191">
        <v>17300</v>
      </c>
      <c r="F36" s="1192">
        <v>16100</v>
      </c>
      <c r="G36" s="72">
        <f t="shared" si="1"/>
        <v>0.930635838150289</v>
      </c>
    </row>
    <row r="37" spans="1:7" ht="12">
      <c r="A37" s="1216"/>
      <c r="B37" s="1200" t="s">
        <v>636</v>
      </c>
      <c r="C37" s="1201">
        <v>854</v>
      </c>
      <c r="D37" s="1217">
        <v>85415</v>
      </c>
      <c r="E37" s="1202">
        <v>25800</v>
      </c>
      <c r="F37" s="1203">
        <v>25800</v>
      </c>
      <c r="G37" s="1158">
        <f t="shared" si="1"/>
        <v>1</v>
      </c>
    </row>
    <row r="38" spans="1:7" ht="12">
      <c r="A38" s="1187"/>
      <c r="B38" s="1188"/>
      <c r="C38" s="1190"/>
      <c r="D38" s="1190"/>
      <c r="E38" s="1191"/>
      <c r="F38" s="1192"/>
      <c r="G38" s="72"/>
    </row>
    <row r="39" spans="1:7" ht="12">
      <c r="A39" s="1187">
        <v>6</v>
      </c>
      <c r="B39" s="1188" t="s">
        <v>640</v>
      </c>
      <c r="C39" s="1190"/>
      <c r="D39" s="1190"/>
      <c r="E39" s="1193">
        <f>SUM(E40:E44)</f>
        <v>1489577</v>
      </c>
      <c r="F39" s="1194">
        <f>SUM(F40:F44)</f>
        <v>1171577</v>
      </c>
      <c r="G39" s="1148">
        <f aca="true" t="shared" si="2" ref="G39:G44">SUM(F39/E39)</f>
        <v>0.7865165748397028</v>
      </c>
    </row>
    <row r="40" spans="1:12" ht="12">
      <c r="A40" s="1187"/>
      <c r="B40" s="1188" t="s">
        <v>633</v>
      </c>
      <c r="C40" s="1190">
        <v>801</v>
      </c>
      <c r="D40" s="1190">
        <v>80101</v>
      </c>
      <c r="E40" s="1191">
        <v>1311287</v>
      </c>
      <c r="F40" s="1192">
        <v>1026287</v>
      </c>
      <c r="G40" s="72">
        <f t="shared" si="2"/>
        <v>0.7826562758572303</v>
      </c>
      <c r="L40" s="1204"/>
    </row>
    <row r="41" spans="1:7" ht="12">
      <c r="A41" s="1187"/>
      <c r="B41" s="1188" t="s">
        <v>634</v>
      </c>
      <c r="C41" s="1190">
        <v>801</v>
      </c>
      <c r="D41" s="1190">
        <v>80103</v>
      </c>
      <c r="E41" s="1191">
        <v>81000</v>
      </c>
      <c r="F41" s="1192">
        <v>63000</v>
      </c>
      <c r="G41" s="72">
        <f t="shared" si="2"/>
        <v>0.7777777777777778</v>
      </c>
    </row>
    <row r="42" spans="1:7" ht="12">
      <c r="A42" s="1228"/>
      <c r="B42" s="1188" t="s">
        <v>635</v>
      </c>
      <c r="C42" s="1190">
        <v>801</v>
      </c>
      <c r="D42" s="1190">
        <v>80146</v>
      </c>
      <c r="E42" s="1191">
        <v>4000</v>
      </c>
      <c r="F42" s="1192">
        <v>4000</v>
      </c>
      <c r="G42" s="72">
        <f t="shared" si="2"/>
        <v>1</v>
      </c>
    </row>
    <row r="43" spans="1:7" ht="12">
      <c r="A43" s="1187"/>
      <c r="B43" s="1229" t="s">
        <v>641</v>
      </c>
      <c r="C43" s="1190">
        <v>801</v>
      </c>
      <c r="D43" s="1190">
        <v>80148</v>
      </c>
      <c r="E43" s="1191">
        <v>73000</v>
      </c>
      <c r="F43" s="1192">
        <f>40000+9000+9000</f>
        <v>58000</v>
      </c>
      <c r="G43" s="72">
        <f t="shared" si="2"/>
        <v>0.7945205479452054</v>
      </c>
    </row>
    <row r="44" spans="1:7" ht="12">
      <c r="A44" s="1216"/>
      <c r="B44" s="1230" t="s">
        <v>636</v>
      </c>
      <c r="C44" s="1201">
        <v>854</v>
      </c>
      <c r="D44" s="1217">
        <v>85415</v>
      </c>
      <c r="E44" s="1202">
        <v>20290</v>
      </c>
      <c r="F44" s="1203">
        <v>20290</v>
      </c>
      <c r="G44" s="1158">
        <f t="shared" si="2"/>
        <v>1</v>
      </c>
    </row>
    <row r="45" spans="1:7" ht="12">
      <c r="A45" s="1187"/>
      <c r="B45" s="1188"/>
      <c r="C45" s="1190"/>
      <c r="D45" s="1190"/>
      <c r="E45" s="1191"/>
      <c r="F45" s="1192"/>
      <c r="G45" s="72"/>
    </row>
    <row r="46" spans="1:7" ht="12">
      <c r="A46" s="1187">
        <v>7</v>
      </c>
      <c r="B46" s="1188" t="s">
        <v>642</v>
      </c>
      <c r="C46" s="1190"/>
      <c r="D46" s="1190"/>
      <c r="E46" s="1193">
        <f>SUM(E47:E50)</f>
        <v>6853508</v>
      </c>
      <c r="F46" s="1194">
        <f>SUM(F47:F50)</f>
        <v>5074717.23</v>
      </c>
      <c r="G46" s="1148">
        <f>SUM(F46/E46)</f>
        <v>0.7404554324588226</v>
      </c>
    </row>
    <row r="47" spans="1:7" ht="12">
      <c r="A47" s="1187"/>
      <c r="B47" s="1188" t="s">
        <v>633</v>
      </c>
      <c r="C47" s="1190">
        <v>801</v>
      </c>
      <c r="D47" s="1190">
        <v>80101</v>
      </c>
      <c r="E47" s="1191">
        <f>6684600+1400+3200</f>
        <v>6689200</v>
      </c>
      <c r="F47" s="1192">
        <f>4937347.23+600+800+1600</f>
        <v>4940347.23</v>
      </c>
      <c r="G47" s="72">
        <f>SUM(F47/E47)</f>
        <v>0.7385557660108832</v>
      </c>
    </row>
    <row r="48" spans="1:7" ht="12">
      <c r="A48" s="1187"/>
      <c r="B48" s="1188" t="s">
        <v>634</v>
      </c>
      <c r="C48" s="1190">
        <v>801</v>
      </c>
      <c r="D48" s="1190">
        <v>80103</v>
      </c>
      <c r="E48" s="1191">
        <v>94000</v>
      </c>
      <c r="F48" s="1192">
        <v>68000</v>
      </c>
      <c r="G48" s="72">
        <f>SUM(F48/E48)</f>
        <v>0.723404255319149</v>
      </c>
    </row>
    <row r="49" spans="1:7" ht="12">
      <c r="A49" s="1187"/>
      <c r="B49" s="1188" t="s">
        <v>635</v>
      </c>
      <c r="C49" s="1190">
        <v>801</v>
      </c>
      <c r="D49" s="1190">
        <v>80146</v>
      </c>
      <c r="E49" s="1191">
        <v>33338</v>
      </c>
      <c r="F49" s="1192">
        <v>29400</v>
      </c>
      <c r="G49" s="72">
        <f>SUM(F49/E49)</f>
        <v>0.8818765372847801</v>
      </c>
    </row>
    <row r="50" spans="1:7" ht="12">
      <c r="A50" s="1216"/>
      <c r="B50" s="1200" t="s">
        <v>636</v>
      </c>
      <c r="C50" s="1201">
        <v>854</v>
      </c>
      <c r="D50" s="1217">
        <v>85415</v>
      </c>
      <c r="E50" s="1202">
        <v>36970</v>
      </c>
      <c r="F50" s="1203">
        <v>36970</v>
      </c>
      <c r="G50" s="1158">
        <f>SUM(F50/E50)</f>
        <v>1</v>
      </c>
    </row>
    <row r="51" spans="1:7" ht="12">
      <c r="A51" s="1187"/>
      <c r="B51" s="1188"/>
      <c r="C51" s="1190"/>
      <c r="D51" s="1190"/>
      <c r="E51" s="1191"/>
      <c r="F51" s="1192"/>
      <c r="G51" s="72"/>
    </row>
    <row r="52" spans="1:7" ht="12">
      <c r="A52" s="1187">
        <v>8</v>
      </c>
      <c r="B52" s="1188" t="s">
        <v>643</v>
      </c>
      <c r="C52" s="1190"/>
      <c r="D52" s="1190"/>
      <c r="E52" s="1193">
        <f>SUM(E53:E56)</f>
        <v>2039842</v>
      </c>
      <c r="F52" s="1194">
        <f>SUM(F53:F56)</f>
        <v>1563824.9100000001</v>
      </c>
      <c r="G52" s="1148">
        <f>SUM(F52/E52)</f>
        <v>0.766640215271575</v>
      </c>
    </row>
    <row r="53" spans="1:7" ht="12">
      <c r="A53" s="1187"/>
      <c r="B53" s="1188" t="s">
        <v>633</v>
      </c>
      <c r="C53" s="1190">
        <v>801</v>
      </c>
      <c r="D53" s="1190">
        <v>80101</v>
      </c>
      <c r="E53" s="1191">
        <f>1871900+352</f>
        <v>1872252</v>
      </c>
      <c r="F53" s="1192">
        <v>1440818.08</v>
      </c>
      <c r="G53" s="72">
        <f>SUM(F53/E53)</f>
        <v>0.769564182599351</v>
      </c>
    </row>
    <row r="54" spans="1:7" ht="12">
      <c r="A54" s="1187"/>
      <c r="B54" s="1188" t="s">
        <v>634</v>
      </c>
      <c r="C54" s="1190">
        <v>801</v>
      </c>
      <c r="D54" s="1190">
        <v>80103</v>
      </c>
      <c r="E54" s="1191">
        <v>141000</v>
      </c>
      <c r="F54" s="1192">
        <v>98416.83</v>
      </c>
      <c r="G54" s="72">
        <f>SUM(F54/E54)</f>
        <v>0.6979917021276596</v>
      </c>
    </row>
    <row r="55" spans="1:7" ht="12">
      <c r="A55" s="1187"/>
      <c r="B55" s="1188" t="s">
        <v>635</v>
      </c>
      <c r="C55" s="1190">
        <v>801</v>
      </c>
      <c r="D55" s="1190">
        <v>80146</v>
      </c>
      <c r="E55" s="1191">
        <v>6200</v>
      </c>
      <c r="F55" s="1192">
        <v>4200</v>
      </c>
      <c r="G55" s="72">
        <f>SUM(F55/E55)</f>
        <v>0.6774193548387096</v>
      </c>
    </row>
    <row r="56" spans="1:7" ht="12">
      <c r="A56" s="1216"/>
      <c r="B56" s="1200" t="s">
        <v>636</v>
      </c>
      <c r="C56" s="1201">
        <v>854</v>
      </c>
      <c r="D56" s="1217">
        <v>85415</v>
      </c>
      <c r="E56" s="1202">
        <v>20390</v>
      </c>
      <c r="F56" s="1203">
        <v>20390</v>
      </c>
      <c r="G56" s="1158">
        <f>SUM(F56/E56)</f>
        <v>1</v>
      </c>
    </row>
    <row r="57" spans="1:7" ht="12">
      <c r="A57" s="1187"/>
      <c r="B57" s="1188"/>
      <c r="C57" s="1190"/>
      <c r="D57" s="1190"/>
      <c r="E57" s="1191"/>
      <c r="F57" s="1192"/>
      <c r="G57" s="72"/>
    </row>
    <row r="58" spans="1:7" ht="12">
      <c r="A58" s="1187">
        <v>9</v>
      </c>
      <c r="B58" s="1188" t="s">
        <v>644</v>
      </c>
      <c r="C58" s="1190"/>
      <c r="D58" s="1190"/>
      <c r="E58" s="1193">
        <f>SUM(E59:E63)</f>
        <v>2540580</v>
      </c>
      <c r="F58" s="1194">
        <f>SUM(F59:F63)</f>
        <v>1829242.8199999998</v>
      </c>
      <c r="G58" s="1148">
        <f aca="true" t="shared" si="3" ref="G58:G63">SUM(F58/E58)</f>
        <v>0.7200099268670933</v>
      </c>
    </row>
    <row r="59" spans="1:7" ht="12">
      <c r="A59" s="1187"/>
      <c r="B59" s="1188" t="s">
        <v>633</v>
      </c>
      <c r="C59" s="1190">
        <v>801</v>
      </c>
      <c r="D59" s="1190">
        <v>80101</v>
      </c>
      <c r="E59" s="1191">
        <v>2419864</v>
      </c>
      <c r="F59" s="1192">
        <v>1757600.4</v>
      </c>
      <c r="G59" s="72">
        <f t="shared" si="3"/>
        <v>0.7263219751192629</v>
      </c>
    </row>
    <row r="60" spans="1:7" ht="12">
      <c r="A60" s="1187"/>
      <c r="B60" s="1188" t="s">
        <v>638</v>
      </c>
      <c r="C60" s="1190">
        <v>801</v>
      </c>
      <c r="D60" s="1190">
        <v>80101</v>
      </c>
      <c r="E60" s="1191">
        <v>29136</v>
      </c>
      <c r="F60" s="1192">
        <v>0</v>
      </c>
      <c r="G60" s="72">
        <f t="shared" si="3"/>
        <v>0</v>
      </c>
    </row>
    <row r="61" spans="1:7" ht="12">
      <c r="A61" s="1187"/>
      <c r="B61" s="1188" t="s">
        <v>634</v>
      </c>
      <c r="C61" s="1190">
        <v>801</v>
      </c>
      <c r="D61" s="1190">
        <v>80103</v>
      </c>
      <c r="E61" s="1191">
        <v>65000</v>
      </c>
      <c r="F61" s="1192">
        <v>45062.42</v>
      </c>
      <c r="G61" s="72">
        <f t="shared" si="3"/>
        <v>0.693268</v>
      </c>
    </row>
    <row r="62" spans="1:7" ht="12">
      <c r="A62" s="1187"/>
      <c r="B62" s="1188" t="s">
        <v>635</v>
      </c>
      <c r="C62" s="1190">
        <v>801</v>
      </c>
      <c r="D62" s="1190">
        <v>80146</v>
      </c>
      <c r="E62" s="1191">
        <v>6200</v>
      </c>
      <c r="F62" s="1192">
        <v>6200</v>
      </c>
      <c r="G62" s="72">
        <f t="shared" si="3"/>
        <v>1</v>
      </c>
    </row>
    <row r="63" spans="1:7" ht="12">
      <c r="A63" s="1216"/>
      <c r="B63" s="1200" t="s">
        <v>636</v>
      </c>
      <c r="C63" s="1201">
        <v>854</v>
      </c>
      <c r="D63" s="1217">
        <v>85415</v>
      </c>
      <c r="E63" s="1202">
        <v>20380</v>
      </c>
      <c r="F63" s="1203">
        <v>20380</v>
      </c>
      <c r="G63" s="1158">
        <f t="shared" si="3"/>
        <v>1</v>
      </c>
    </row>
    <row r="64" spans="1:7" ht="12">
      <c r="A64" s="1206"/>
      <c r="B64" s="1207"/>
      <c r="C64" s="1208"/>
      <c r="D64" s="1208"/>
      <c r="E64" s="1209"/>
      <c r="F64" s="1231"/>
      <c r="G64" s="73"/>
    </row>
    <row r="65" spans="1:7" ht="12">
      <c r="A65" s="1187">
        <v>10</v>
      </c>
      <c r="B65" s="1188" t="s">
        <v>645</v>
      </c>
      <c r="C65" s="1190"/>
      <c r="D65" s="1190"/>
      <c r="E65" s="1193">
        <f>SUM(E66:E67)</f>
        <v>755500</v>
      </c>
      <c r="F65" s="1194">
        <f>SUM(F66:F67)</f>
        <v>600500</v>
      </c>
      <c r="G65" s="1148">
        <f>SUM(F65/E65)</f>
        <v>0.7948378557246857</v>
      </c>
    </row>
    <row r="66" spans="1:7" ht="12">
      <c r="A66" s="1187"/>
      <c r="B66" s="1188" t="s">
        <v>633</v>
      </c>
      <c r="C66" s="1190">
        <v>801</v>
      </c>
      <c r="D66" s="1190">
        <v>80104</v>
      </c>
      <c r="E66" s="1191">
        <v>753400</v>
      </c>
      <c r="F66" s="1192">
        <v>598400</v>
      </c>
      <c r="G66" s="72">
        <f>SUM(F66/E66)</f>
        <v>0.7942659941598089</v>
      </c>
    </row>
    <row r="67" spans="1:7" ht="12.75" thickBot="1">
      <c r="A67" s="1245"/>
      <c r="B67" s="1324" t="s">
        <v>635</v>
      </c>
      <c r="C67" s="1325">
        <v>801</v>
      </c>
      <c r="D67" s="1325">
        <v>80146</v>
      </c>
      <c r="E67" s="1326">
        <v>2100</v>
      </c>
      <c r="F67" s="1327">
        <v>2100</v>
      </c>
      <c r="G67" s="798">
        <f>SUM(F67/E67)</f>
        <v>1</v>
      </c>
    </row>
    <row r="68" spans="1:7" s="1232" customFormat="1" ht="12">
      <c r="A68" s="1307">
        <v>1</v>
      </c>
      <c r="B68" s="1184">
        <v>2</v>
      </c>
      <c r="C68" s="1184">
        <v>3</v>
      </c>
      <c r="D68" s="1184">
        <v>4</v>
      </c>
      <c r="E68" s="1322">
        <v>5</v>
      </c>
      <c r="F68" s="1322">
        <v>6</v>
      </c>
      <c r="G68" s="1323">
        <v>7</v>
      </c>
    </row>
    <row r="69" spans="1:7" ht="12">
      <c r="A69" s="1187"/>
      <c r="B69" s="1190"/>
      <c r="C69" s="1190"/>
      <c r="D69" s="1190"/>
      <c r="E69" s="1233"/>
      <c r="F69" s="1233"/>
      <c r="G69" s="1234"/>
    </row>
    <row r="70" spans="1:7" ht="12">
      <c r="A70" s="1187">
        <v>11</v>
      </c>
      <c r="B70" s="1188" t="s">
        <v>646</v>
      </c>
      <c r="C70" s="1190"/>
      <c r="D70" s="1190"/>
      <c r="E70" s="1193">
        <f>SUM(E71:E72)</f>
        <v>899400</v>
      </c>
      <c r="F70" s="1194">
        <f>SUM(F71:F72)</f>
        <v>782700</v>
      </c>
      <c r="G70" s="1148">
        <f>SUM(F70/E70)</f>
        <v>0.8702468312208139</v>
      </c>
    </row>
    <row r="71" spans="1:7" ht="12">
      <c r="A71" s="1187"/>
      <c r="B71" s="1188" t="s">
        <v>633</v>
      </c>
      <c r="C71" s="1190">
        <v>801</v>
      </c>
      <c r="D71" s="1190">
        <v>80104</v>
      </c>
      <c r="E71" s="1191">
        <v>896700</v>
      </c>
      <c r="F71" s="1192">
        <v>780000</v>
      </c>
      <c r="G71" s="72">
        <f>SUM(F71/E71)</f>
        <v>0.8698561391769822</v>
      </c>
    </row>
    <row r="72" spans="1:7" ht="12">
      <c r="A72" s="1216"/>
      <c r="B72" s="1200" t="s">
        <v>635</v>
      </c>
      <c r="C72" s="1201">
        <v>801</v>
      </c>
      <c r="D72" s="1201">
        <v>80146</v>
      </c>
      <c r="E72" s="1202">
        <v>2700</v>
      </c>
      <c r="F72" s="1203">
        <v>2700</v>
      </c>
      <c r="G72" s="1158">
        <f>SUM(F72/E72)</f>
        <v>1</v>
      </c>
    </row>
    <row r="73" spans="1:7" ht="12">
      <c r="A73" s="1187"/>
      <c r="B73" s="1188"/>
      <c r="C73" s="1190"/>
      <c r="D73" s="1190"/>
      <c r="E73" s="1191"/>
      <c r="F73" s="1192"/>
      <c r="G73" s="72"/>
    </row>
    <row r="74" spans="1:7" ht="12">
      <c r="A74" s="1187">
        <v>12</v>
      </c>
      <c r="B74" s="1188" t="s">
        <v>647</v>
      </c>
      <c r="C74" s="1190"/>
      <c r="D74" s="1190"/>
      <c r="E74" s="1193">
        <f>SUM(E75:E76)</f>
        <v>889700</v>
      </c>
      <c r="F74" s="1194">
        <f>SUM(F75:F76)</f>
        <v>699700</v>
      </c>
      <c r="G74" s="1148">
        <f>SUM(F74/E74)</f>
        <v>0.7864448690569855</v>
      </c>
    </row>
    <row r="75" spans="1:7" ht="12">
      <c r="A75" s="1187"/>
      <c r="B75" s="1188" t="s">
        <v>633</v>
      </c>
      <c r="C75" s="1190">
        <v>801</v>
      </c>
      <c r="D75" s="1190">
        <v>80104</v>
      </c>
      <c r="E75" s="1191">
        <v>887000</v>
      </c>
      <c r="F75" s="1192">
        <v>697000</v>
      </c>
      <c r="G75" s="72">
        <f>SUM(F75/E75)</f>
        <v>0.7857948139797069</v>
      </c>
    </row>
    <row r="76" spans="1:7" ht="12">
      <c r="A76" s="1216"/>
      <c r="B76" s="1230" t="s">
        <v>635</v>
      </c>
      <c r="C76" s="1217">
        <v>801</v>
      </c>
      <c r="D76" s="1217">
        <v>80146</v>
      </c>
      <c r="E76" s="1218">
        <v>2700</v>
      </c>
      <c r="F76" s="1219">
        <v>2700</v>
      </c>
      <c r="G76" s="1158">
        <f>SUM(F76/E76)</f>
        <v>1</v>
      </c>
    </row>
    <row r="77" spans="1:7" ht="12">
      <c r="A77" s="1187"/>
      <c r="B77" s="1188"/>
      <c r="C77" s="1190"/>
      <c r="D77" s="1190"/>
      <c r="E77" s="1191"/>
      <c r="F77" s="1192"/>
      <c r="G77" s="72"/>
    </row>
    <row r="78" spans="1:7" ht="12">
      <c r="A78" s="1187">
        <v>13</v>
      </c>
      <c r="B78" s="1188" t="s">
        <v>648</v>
      </c>
      <c r="C78" s="1190"/>
      <c r="D78" s="1190"/>
      <c r="E78" s="1193">
        <f>SUM(E79:E80)</f>
        <v>1047300</v>
      </c>
      <c r="F78" s="1194">
        <f>SUM(F79:F80)</f>
        <v>822299.79</v>
      </c>
      <c r="G78" s="1148">
        <f>SUM(F78/E78)</f>
        <v>0.7851616442280149</v>
      </c>
    </row>
    <row r="79" spans="1:7" ht="12">
      <c r="A79" s="1187"/>
      <c r="B79" s="1188" t="s">
        <v>633</v>
      </c>
      <c r="C79" s="1190">
        <v>801</v>
      </c>
      <c r="D79" s="1190">
        <v>80104</v>
      </c>
      <c r="E79" s="1191">
        <v>1044000</v>
      </c>
      <c r="F79" s="1192">
        <v>818999.79</v>
      </c>
      <c r="G79" s="72">
        <f>SUM(F79/E79)</f>
        <v>0.7844825574712644</v>
      </c>
    </row>
    <row r="80" spans="1:7" ht="12">
      <c r="A80" s="1216"/>
      <c r="B80" s="1200" t="s">
        <v>635</v>
      </c>
      <c r="C80" s="1201">
        <v>801</v>
      </c>
      <c r="D80" s="1201">
        <v>80146</v>
      </c>
      <c r="E80" s="1202">
        <v>3300</v>
      </c>
      <c r="F80" s="1203">
        <v>3300</v>
      </c>
      <c r="G80" s="1158">
        <f>SUM(F80/E80)</f>
        <v>1</v>
      </c>
    </row>
    <row r="81" spans="1:7" ht="12">
      <c r="A81" s="1187"/>
      <c r="B81" s="1188"/>
      <c r="C81" s="1190"/>
      <c r="D81" s="1190"/>
      <c r="E81" s="1191"/>
      <c r="F81" s="1192"/>
      <c r="G81" s="72"/>
    </row>
    <row r="82" spans="1:7" ht="12">
      <c r="A82" s="1187">
        <v>14</v>
      </c>
      <c r="B82" s="1188" t="s">
        <v>649</v>
      </c>
      <c r="C82" s="1190"/>
      <c r="D82" s="1190"/>
      <c r="E82" s="1193">
        <f>SUM(E83:E84)</f>
        <v>919700</v>
      </c>
      <c r="F82" s="1194">
        <f>SUM(F83:F84)</f>
        <v>719420.29</v>
      </c>
      <c r="G82" s="1148">
        <f>SUM(F82/E82)</f>
        <v>0.7822336522779167</v>
      </c>
    </row>
    <row r="83" spans="1:7" ht="12">
      <c r="A83" s="1187"/>
      <c r="B83" s="1188" t="s">
        <v>633</v>
      </c>
      <c r="C83" s="1190">
        <v>801</v>
      </c>
      <c r="D83" s="1190">
        <v>80104</v>
      </c>
      <c r="E83" s="1191">
        <v>917000</v>
      </c>
      <c r="F83" s="1192">
        <v>716720.29</v>
      </c>
      <c r="G83" s="72">
        <f>SUM(F83/E83)</f>
        <v>0.7815924645583424</v>
      </c>
    </row>
    <row r="84" spans="1:7" ht="12">
      <c r="A84" s="1216"/>
      <c r="B84" s="1200" t="s">
        <v>635</v>
      </c>
      <c r="C84" s="1201">
        <v>801</v>
      </c>
      <c r="D84" s="1201">
        <v>80146</v>
      </c>
      <c r="E84" s="1202">
        <v>2700</v>
      </c>
      <c r="F84" s="1203">
        <v>2700</v>
      </c>
      <c r="G84" s="1158">
        <f>SUM(F84/E84)</f>
        <v>1</v>
      </c>
    </row>
    <row r="85" spans="1:7" ht="12">
      <c r="A85" s="1187"/>
      <c r="B85" s="1188"/>
      <c r="C85" s="1190"/>
      <c r="D85" s="1190"/>
      <c r="E85" s="1191"/>
      <c r="F85" s="1192"/>
      <c r="G85" s="72"/>
    </row>
    <row r="86" spans="1:7" ht="12">
      <c r="A86" s="1187">
        <v>15</v>
      </c>
      <c r="B86" s="1188" t="s">
        <v>650</v>
      </c>
      <c r="C86" s="1190"/>
      <c r="D86" s="1190"/>
      <c r="E86" s="1193">
        <f>SUM(E87:E88)</f>
        <v>968700</v>
      </c>
      <c r="F86" s="1194">
        <f>SUM(F87:F88)</f>
        <v>725121.18</v>
      </c>
      <c r="G86" s="1148">
        <f>SUM(F86/E86)</f>
        <v>0.7485508206875194</v>
      </c>
    </row>
    <row r="87" spans="1:7" ht="12">
      <c r="A87" s="1187"/>
      <c r="B87" s="1188" t="s">
        <v>633</v>
      </c>
      <c r="C87" s="1190">
        <v>801</v>
      </c>
      <c r="D87" s="1190">
        <v>80104</v>
      </c>
      <c r="E87" s="1191">
        <v>966000</v>
      </c>
      <c r="F87" s="1192">
        <v>722421.18</v>
      </c>
      <c r="G87" s="72">
        <f>SUM(F87/E87)</f>
        <v>0.7478480124223603</v>
      </c>
    </row>
    <row r="88" spans="1:7" ht="12">
      <c r="A88" s="1216"/>
      <c r="B88" s="1200" t="s">
        <v>635</v>
      </c>
      <c r="C88" s="1201">
        <v>801</v>
      </c>
      <c r="D88" s="1201">
        <v>80146</v>
      </c>
      <c r="E88" s="1202">
        <v>2700</v>
      </c>
      <c r="F88" s="1203">
        <v>2700</v>
      </c>
      <c r="G88" s="1158">
        <f>SUM(F88/E88)</f>
        <v>1</v>
      </c>
    </row>
    <row r="89" spans="1:7" ht="12">
      <c r="A89" s="1187"/>
      <c r="B89" s="1188"/>
      <c r="C89" s="1190"/>
      <c r="D89" s="1190"/>
      <c r="E89" s="1191"/>
      <c r="F89" s="1192"/>
      <c r="G89" s="72"/>
    </row>
    <row r="90" spans="1:7" ht="12">
      <c r="A90" s="1187">
        <v>16</v>
      </c>
      <c r="B90" s="1188" t="s">
        <v>651</v>
      </c>
      <c r="C90" s="1190"/>
      <c r="D90" s="1190"/>
      <c r="E90" s="1221">
        <f>SUM(E91:E92)</f>
        <v>987700</v>
      </c>
      <c r="F90" s="1194">
        <f>SUM(F91:F92)</f>
        <v>814745.94</v>
      </c>
      <c r="G90" s="1148">
        <f>SUM(F90/E90)</f>
        <v>0.8248921129897742</v>
      </c>
    </row>
    <row r="91" spans="1:7" ht="12">
      <c r="A91" s="1187"/>
      <c r="B91" s="1188" t="s">
        <v>633</v>
      </c>
      <c r="C91" s="1190">
        <v>801</v>
      </c>
      <c r="D91" s="1190">
        <v>80104</v>
      </c>
      <c r="E91" s="1209">
        <v>976000</v>
      </c>
      <c r="F91" s="1235">
        <v>805115.94</v>
      </c>
      <c r="G91" s="72">
        <f>SUM(F91/E91)</f>
        <v>0.8249138729508196</v>
      </c>
    </row>
    <row r="92" spans="1:7" ht="12">
      <c r="A92" s="1216"/>
      <c r="B92" s="1200" t="s">
        <v>635</v>
      </c>
      <c r="C92" s="1201">
        <v>801</v>
      </c>
      <c r="D92" s="1201">
        <v>80146</v>
      </c>
      <c r="E92" s="1236">
        <v>11700</v>
      </c>
      <c r="F92" s="1203">
        <v>9630</v>
      </c>
      <c r="G92" s="1158">
        <f>SUM(F92/E92)</f>
        <v>0.823076923076923</v>
      </c>
    </row>
    <row r="93" spans="1:7" ht="12">
      <c r="A93" s="1187"/>
      <c r="B93" s="1188"/>
      <c r="C93" s="1190"/>
      <c r="D93" s="1190"/>
      <c r="E93" s="1191"/>
      <c r="F93" s="1192"/>
      <c r="G93" s="72"/>
    </row>
    <row r="94" spans="1:7" ht="12">
      <c r="A94" s="1187">
        <v>17</v>
      </c>
      <c r="B94" s="1188" t="s">
        <v>652</v>
      </c>
      <c r="C94" s="1190"/>
      <c r="D94" s="1190"/>
      <c r="E94" s="1193">
        <f>SUM(E95:E96)</f>
        <v>440100</v>
      </c>
      <c r="F94" s="1194">
        <f>SUM(F95:F96)</f>
        <v>322704</v>
      </c>
      <c r="G94" s="1148">
        <f>SUM(F94/E94)</f>
        <v>0.7332515337423313</v>
      </c>
    </row>
    <row r="95" spans="1:7" ht="12">
      <c r="A95" s="1187"/>
      <c r="B95" s="1188" t="s">
        <v>633</v>
      </c>
      <c r="C95" s="1190">
        <v>801</v>
      </c>
      <c r="D95" s="1190">
        <v>80104</v>
      </c>
      <c r="E95" s="1191">
        <v>439000</v>
      </c>
      <c r="F95" s="1192">
        <v>321604</v>
      </c>
      <c r="G95" s="72">
        <f>SUM(F95/E95)</f>
        <v>0.7325831435079727</v>
      </c>
    </row>
    <row r="96" spans="1:7" ht="12">
      <c r="A96" s="1216"/>
      <c r="B96" s="1200" t="s">
        <v>635</v>
      </c>
      <c r="C96" s="1201">
        <v>801</v>
      </c>
      <c r="D96" s="1201">
        <v>80146</v>
      </c>
      <c r="E96" s="1202">
        <v>1100</v>
      </c>
      <c r="F96" s="1203">
        <v>1100</v>
      </c>
      <c r="G96" s="1158">
        <f>SUM(F96/E96)</f>
        <v>1</v>
      </c>
    </row>
    <row r="97" spans="1:7" ht="12">
      <c r="A97" s="1187"/>
      <c r="B97" s="1188"/>
      <c r="C97" s="1190"/>
      <c r="D97" s="1190"/>
      <c r="E97" s="1191"/>
      <c r="F97" s="1192"/>
      <c r="G97" s="72"/>
    </row>
    <row r="98" spans="1:7" ht="12">
      <c r="A98" s="1187">
        <v>18</v>
      </c>
      <c r="B98" s="1188" t="s">
        <v>653</v>
      </c>
      <c r="C98" s="1190"/>
      <c r="D98" s="1190"/>
      <c r="E98" s="1193">
        <f>SUM(E99:E100)</f>
        <v>584900</v>
      </c>
      <c r="F98" s="1194">
        <f>SUM(F99:F100)</f>
        <v>451500</v>
      </c>
      <c r="G98" s="1148">
        <f>SUM(F98/E98)</f>
        <v>0.7719268250983075</v>
      </c>
    </row>
    <row r="99" spans="1:7" ht="12">
      <c r="A99" s="1187"/>
      <c r="B99" s="1188" t="s">
        <v>633</v>
      </c>
      <c r="C99" s="1190">
        <v>801</v>
      </c>
      <c r="D99" s="1190">
        <v>80104</v>
      </c>
      <c r="E99" s="1191">
        <v>583400</v>
      </c>
      <c r="F99" s="1192">
        <v>450000</v>
      </c>
      <c r="G99" s="72">
        <f>SUM(F99/E99)</f>
        <v>0.7713404182379157</v>
      </c>
    </row>
    <row r="100" spans="1:7" ht="12">
      <c r="A100" s="1216"/>
      <c r="B100" s="1200" t="s">
        <v>635</v>
      </c>
      <c r="C100" s="1201">
        <v>801</v>
      </c>
      <c r="D100" s="1201">
        <v>80146</v>
      </c>
      <c r="E100" s="1202">
        <v>1500</v>
      </c>
      <c r="F100" s="1203">
        <v>1500</v>
      </c>
      <c r="G100" s="1158">
        <f>SUM(F100/E100)</f>
        <v>1</v>
      </c>
    </row>
    <row r="101" spans="1:7" ht="12">
      <c r="A101" s="1187"/>
      <c r="B101" s="1188"/>
      <c r="C101" s="1190"/>
      <c r="D101" s="1190"/>
      <c r="E101" s="1191"/>
      <c r="F101" s="1192"/>
      <c r="G101" s="72"/>
    </row>
    <row r="102" spans="1:7" ht="12">
      <c r="A102" s="1187">
        <v>19</v>
      </c>
      <c r="B102" s="1188" t="s">
        <v>654</v>
      </c>
      <c r="C102" s="1190"/>
      <c r="D102" s="1190"/>
      <c r="E102" s="1193">
        <f>SUM(E103:E105)</f>
        <v>2880580</v>
      </c>
      <c r="F102" s="1194">
        <f>SUM(F103:F105)</f>
        <v>2193780</v>
      </c>
      <c r="G102" s="1148">
        <f>SUM(F102/E102)</f>
        <v>0.761575793763756</v>
      </c>
    </row>
    <row r="103" spans="1:7" ht="12">
      <c r="A103" s="1187"/>
      <c r="B103" s="1188" t="s">
        <v>633</v>
      </c>
      <c r="C103" s="1190">
        <v>801</v>
      </c>
      <c r="D103" s="1190">
        <v>80110</v>
      </c>
      <c r="E103" s="1191">
        <f>2840000+3400</f>
        <v>2843400</v>
      </c>
      <c r="F103" s="1192">
        <v>2156600</v>
      </c>
      <c r="G103" s="72">
        <f>SUM(F103/E103)</f>
        <v>0.7584581838643877</v>
      </c>
    </row>
    <row r="104" spans="1:7" ht="12">
      <c r="A104" s="1187"/>
      <c r="B104" s="1188" t="s">
        <v>635</v>
      </c>
      <c r="C104" s="1190">
        <v>801</v>
      </c>
      <c r="D104" s="1190">
        <v>80146</v>
      </c>
      <c r="E104" s="1191">
        <v>27700</v>
      </c>
      <c r="F104" s="1192">
        <v>27700</v>
      </c>
      <c r="G104" s="72">
        <f>SUM(F104/E104)</f>
        <v>1</v>
      </c>
    </row>
    <row r="105" spans="1:7" ht="12">
      <c r="A105" s="1187"/>
      <c r="B105" s="1200" t="s">
        <v>636</v>
      </c>
      <c r="C105" s="1201">
        <v>854</v>
      </c>
      <c r="D105" s="1217">
        <v>85415</v>
      </c>
      <c r="E105" s="1191">
        <v>9480</v>
      </c>
      <c r="F105" s="1192">
        <v>9480</v>
      </c>
      <c r="G105" s="1158">
        <f>SUM(F105/E105)</f>
        <v>1</v>
      </c>
    </row>
    <row r="106" spans="1:7" ht="12">
      <c r="A106" s="1206"/>
      <c r="B106" s="1207"/>
      <c r="C106" s="1208"/>
      <c r="D106" s="1208"/>
      <c r="E106" s="1209"/>
      <c r="F106" s="1231"/>
      <c r="G106" s="73"/>
    </row>
    <row r="107" spans="1:7" ht="12">
      <c r="A107" s="1187">
        <v>20</v>
      </c>
      <c r="B107" s="1188" t="s">
        <v>655</v>
      </c>
      <c r="C107" s="1190"/>
      <c r="D107" s="1190"/>
      <c r="E107" s="1193">
        <f>SUM(E108:E110)</f>
        <v>2696300</v>
      </c>
      <c r="F107" s="1194">
        <f>SUM(F108:F110)</f>
        <v>2159630</v>
      </c>
      <c r="G107" s="1148">
        <f>SUM(F107/E107)</f>
        <v>0.8009605756036049</v>
      </c>
    </row>
    <row r="108" spans="1:7" ht="12">
      <c r="A108" s="1187"/>
      <c r="B108" s="1188" t="s">
        <v>633</v>
      </c>
      <c r="C108" s="1190">
        <v>801</v>
      </c>
      <c r="D108" s="1190">
        <v>80110</v>
      </c>
      <c r="E108" s="1191">
        <v>2670500</v>
      </c>
      <c r="F108" s="1192">
        <v>2135900</v>
      </c>
      <c r="G108" s="72">
        <f>SUM(F108/E108)</f>
        <v>0.799812769144355</v>
      </c>
    </row>
    <row r="109" spans="1:7" ht="12">
      <c r="A109" s="1187"/>
      <c r="B109" s="1188" t="s">
        <v>635</v>
      </c>
      <c r="C109" s="1190">
        <v>801</v>
      </c>
      <c r="D109" s="1190">
        <v>80146</v>
      </c>
      <c r="E109" s="1191">
        <v>16400</v>
      </c>
      <c r="F109" s="1192">
        <v>14330</v>
      </c>
      <c r="G109" s="72">
        <f>SUM(F109/E109)</f>
        <v>0.873780487804878</v>
      </c>
    </row>
    <row r="110" spans="1:7" ht="12">
      <c r="A110" s="1216"/>
      <c r="B110" s="1200" t="s">
        <v>636</v>
      </c>
      <c r="C110" s="1201">
        <v>854</v>
      </c>
      <c r="D110" s="1217">
        <v>85415</v>
      </c>
      <c r="E110" s="1202">
        <v>9400</v>
      </c>
      <c r="F110" s="1203">
        <v>9400</v>
      </c>
      <c r="G110" s="1158">
        <f>SUM(F110/E110)</f>
        <v>1</v>
      </c>
    </row>
    <row r="111" spans="1:7" ht="12">
      <c r="A111" s="1187"/>
      <c r="B111" s="1188"/>
      <c r="C111" s="1190"/>
      <c r="D111" s="1190"/>
      <c r="E111" s="1191"/>
      <c r="F111" s="1192"/>
      <c r="G111" s="72"/>
    </row>
    <row r="112" spans="1:7" ht="12">
      <c r="A112" s="1187">
        <v>21</v>
      </c>
      <c r="B112" s="1188" t="s">
        <v>656</v>
      </c>
      <c r="C112" s="1190"/>
      <c r="D112" s="1190"/>
      <c r="E112" s="1193">
        <f>SUM(E113:E115)</f>
        <v>2366000</v>
      </c>
      <c r="F112" s="1194">
        <f>SUM(F113:F115)</f>
        <v>1844100</v>
      </c>
      <c r="G112" s="1148">
        <f>SUM(F112/E112)</f>
        <v>0.7794167371090448</v>
      </c>
    </row>
    <row r="113" spans="1:7" ht="12">
      <c r="A113" s="1187"/>
      <c r="B113" s="1188" t="s">
        <v>633</v>
      </c>
      <c r="C113" s="1190">
        <v>801</v>
      </c>
      <c r="D113" s="1190">
        <v>80110</v>
      </c>
      <c r="E113" s="1191">
        <f>2351100+800+500</f>
        <v>2352400</v>
      </c>
      <c r="F113" s="1192">
        <f>1830000+500</f>
        <v>1830500</v>
      </c>
      <c r="G113" s="72">
        <f>SUM(F113/E113)</f>
        <v>0.7781414725386839</v>
      </c>
    </row>
    <row r="114" spans="1:7" ht="12">
      <c r="A114" s="1187"/>
      <c r="B114" s="1188" t="s">
        <v>635</v>
      </c>
      <c r="C114" s="1190">
        <v>801</v>
      </c>
      <c r="D114" s="1190">
        <v>80146</v>
      </c>
      <c r="E114" s="1191">
        <v>6200</v>
      </c>
      <c r="F114" s="1192">
        <v>6200</v>
      </c>
      <c r="G114" s="72">
        <f>SUM(F114/E114)</f>
        <v>1</v>
      </c>
    </row>
    <row r="115" spans="1:7" ht="12">
      <c r="A115" s="1216"/>
      <c r="B115" s="1200" t="s">
        <v>636</v>
      </c>
      <c r="C115" s="1201">
        <v>854</v>
      </c>
      <c r="D115" s="1217">
        <v>85415</v>
      </c>
      <c r="E115" s="1202">
        <v>7400</v>
      </c>
      <c r="F115" s="1203">
        <v>7400</v>
      </c>
      <c r="G115" s="1158">
        <f>SUM(F115/E115)</f>
        <v>1</v>
      </c>
    </row>
    <row r="116" spans="1:7" ht="12">
      <c r="A116" s="1187"/>
      <c r="B116" s="1188"/>
      <c r="C116" s="1190"/>
      <c r="D116" s="1190"/>
      <c r="E116" s="1191"/>
      <c r="F116" s="1192"/>
      <c r="G116" s="72"/>
    </row>
    <row r="117" spans="1:7" ht="12">
      <c r="A117" s="1187">
        <v>22</v>
      </c>
      <c r="B117" s="1188" t="s">
        <v>657</v>
      </c>
      <c r="C117" s="1190"/>
      <c r="D117" s="1190"/>
      <c r="E117" s="1193">
        <f>SUM(E118:E120)</f>
        <v>382680</v>
      </c>
      <c r="F117" s="1194">
        <f>SUM(F118:F120)</f>
        <v>287680</v>
      </c>
      <c r="G117" s="1148">
        <f>SUM(F117/E117)</f>
        <v>0.751750810076304</v>
      </c>
    </row>
    <row r="118" spans="1:7" ht="12">
      <c r="A118" s="1187"/>
      <c r="B118" s="1188" t="s">
        <v>633</v>
      </c>
      <c r="C118" s="1190">
        <v>801</v>
      </c>
      <c r="D118" s="1190">
        <v>80110</v>
      </c>
      <c r="E118" s="1191">
        <v>378700</v>
      </c>
      <c r="F118" s="1192">
        <v>283700</v>
      </c>
      <c r="G118" s="72">
        <f>SUM(F118/E118)</f>
        <v>0.7491418008978082</v>
      </c>
    </row>
    <row r="119" spans="1:7" ht="12">
      <c r="A119" s="1187"/>
      <c r="B119" s="1188" t="s">
        <v>635</v>
      </c>
      <c r="C119" s="1190">
        <v>801</v>
      </c>
      <c r="D119" s="1190">
        <v>80146</v>
      </c>
      <c r="E119" s="1191">
        <v>1500</v>
      </c>
      <c r="F119" s="1192">
        <v>1500</v>
      </c>
      <c r="G119" s="72">
        <f>SUM(F119/E119)</f>
        <v>1</v>
      </c>
    </row>
    <row r="120" spans="1:7" ht="12">
      <c r="A120" s="1216"/>
      <c r="B120" s="1200" t="s">
        <v>636</v>
      </c>
      <c r="C120" s="1201">
        <v>854</v>
      </c>
      <c r="D120" s="1217">
        <v>85415</v>
      </c>
      <c r="E120" s="1202">
        <v>2480</v>
      </c>
      <c r="F120" s="1203">
        <v>2480</v>
      </c>
      <c r="G120" s="1158">
        <f>SUM(F120/E120)</f>
        <v>1</v>
      </c>
    </row>
    <row r="121" spans="1:7" ht="12">
      <c r="A121" s="1187"/>
      <c r="B121" s="1188"/>
      <c r="C121" s="1190"/>
      <c r="D121" s="1190"/>
      <c r="E121" s="1191"/>
      <c r="F121" s="1192"/>
      <c r="G121" s="72"/>
    </row>
    <row r="122" spans="1:7" ht="12">
      <c r="A122" s="1187">
        <v>23</v>
      </c>
      <c r="B122" s="1188" t="s">
        <v>658</v>
      </c>
      <c r="C122" s="1190"/>
      <c r="D122" s="1190"/>
      <c r="E122" s="1193">
        <f>SUM(E123:E125)</f>
        <v>697070</v>
      </c>
      <c r="F122" s="1194">
        <f>SUM(F123:F125)</f>
        <v>532070</v>
      </c>
      <c r="G122" s="1148">
        <f>SUM(F122/E122)</f>
        <v>0.7632949345115986</v>
      </c>
    </row>
    <row r="123" spans="1:7" ht="12">
      <c r="A123" s="1187"/>
      <c r="B123" s="1188" t="s">
        <v>633</v>
      </c>
      <c r="C123" s="1190">
        <v>801</v>
      </c>
      <c r="D123" s="1190">
        <v>80110</v>
      </c>
      <c r="E123" s="1191">
        <v>687700</v>
      </c>
      <c r="F123" s="1192">
        <v>522700</v>
      </c>
      <c r="G123" s="72">
        <f>SUM(F123/E123)</f>
        <v>0.7600697978769813</v>
      </c>
    </row>
    <row r="124" spans="1:7" ht="12">
      <c r="A124" s="1187"/>
      <c r="B124" s="1188" t="s">
        <v>635</v>
      </c>
      <c r="C124" s="1190">
        <v>801</v>
      </c>
      <c r="D124" s="1190">
        <v>80146</v>
      </c>
      <c r="E124" s="1191">
        <v>2700</v>
      </c>
      <c r="F124" s="1192">
        <v>2700</v>
      </c>
      <c r="G124" s="72">
        <f>SUM(F124/E124)</f>
        <v>1</v>
      </c>
    </row>
    <row r="125" spans="1:7" ht="12">
      <c r="A125" s="1216"/>
      <c r="B125" s="1200" t="s">
        <v>636</v>
      </c>
      <c r="C125" s="1201">
        <v>854</v>
      </c>
      <c r="D125" s="1217">
        <v>85415</v>
      </c>
      <c r="E125" s="1202">
        <v>6670</v>
      </c>
      <c r="F125" s="1203">
        <v>6670</v>
      </c>
      <c r="G125" s="1158">
        <f>SUM(F125/E125)</f>
        <v>1</v>
      </c>
    </row>
    <row r="126" spans="1:7" ht="12">
      <c r="A126" s="1187"/>
      <c r="B126" s="1188"/>
      <c r="C126" s="1190"/>
      <c r="D126" s="1190"/>
      <c r="E126" s="1191"/>
      <c r="F126" s="1192"/>
      <c r="G126" s="72"/>
    </row>
    <row r="127" spans="1:7" ht="12">
      <c r="A127" s="1187">
        <v>24</v>
      </c>
      <c r="B127" s="1188" t="s">
        <v>659</v>
      </c>
      <c r="C127" s="1190"/>
      <c r="D127" s="1190"/>
      <c r="E127" s="1193">
        <f>SUM(E128:E128)</f>
        <v>976900</v>
      </c>
      <c r="F127" s="1194">
        <f>SUM(F128:F128)</f>
        <v>697900</v>
      </c>
      <c r="G127" s="1148">
        <f>SUM(F127/E127)</f>
        <v>0.7144027024260415</v>
      </c>
    </row>
    <row r="128" spans="1:7" ht="12.75" thickBot="1">
      <c r="A128" s="1187"/>
      <c r="B128" s="1188" t="s">
        <v>660</v>
      </c>
      <c r="C128" s="1190">
        <v>853</v>
      </c>
      <c r="D128" s="1190">
        <v>85305</v>
      </c>
      <c r="E128" s="1237">
        <v>976900</v>
      </c>
      <c r="F128" s="1238">
        <v>697900</v>
      </c>
      <c r="G128" s="274">
        <f>SUM(F128/E128)</f>
        <v>0.7144027024260415</v>
      </c>
    </row>
    <row r="129" spans="1:7" ht="12">
      <c r="A129" s="1239"/>
      <c r="B129" s="1240"/>
      <c r="C129" s="1241"/>
      <c r="D129" s="1241"/>
      <c r="E129" s="1242"/>
      <c r="F129" s="1243"/>
      <c r="G129" s="1244"/>
    </row>
    <row r="130" spans="1:7" ht="15.75" thickBot="1">
      <c r="A130" s="1245"/>
      <c r="B130" s="1246" t="s">
        <v>135</v>
      </c>
      <c r="C130" s="1247" t="s">
        <v>319</v>
      </c>
      <c r="D130" s="1248" t="s">
        <v>319</v>
      </c>
      <c r="E130" s="1249">
        <f>SUM(E9,E19,E25,E32,E39,E46,E52,E58,E65,E70,E74,E78,E82,E86,E90,E94,E98,E102,E107,E112,E117,E122,E127,E16,)</f>
        <v>45258071</v>
      </c>
      <c r="F130" s="1249">
        <f>SUM(F9,F19,F25,F32,F39,F46,F52,F58,F65,F70,F74,F78,F82,F86,F90,F94,F98,F102,F107,F112,F117,F122,F127,F16,)</f>
        <v>32714787.55</v>
      </c>
      <c r="G130" s="329">
        <f>SUM(F130/E130)</f>
        <v>0.722849799541832</v>
      </c>
    </row>
    <row r="131" spans="1:7" ht="12">
      <c r="A131" s="1227"/>
      <c r="B131" s="1250"/>
      <c r="C131" s="1227"/>
      <c r="D131" s="1251"/>
      <c r="E131" s="1252"/>
      <c r="F131" s="1224"/>
      <c r="G131" s="1250"/>
    </row>
    <row r="132" spans="5:6" ht="12">
      <c r="E132" s="1308"/>
      <c r="F132" s="1309"/>
    </row>
    <row r="133" spans="5:6" ht="12">
      <c r="E133" s="1308"/>
      <c r="F133" s="1309"/>
    </row>
    <row r="134" spans="5:6" ht="12">
      <c r="E134" s="1308"/>
      <c r="F134" s="1309"/>
    </row>
    <row r="135" spans="5:6" ht="12">
      <c r="E135" s="1308"/>
      <c r="F135" s="1309"/>
    </row>
    <row r="136" spans="5:6" ht="12">
      <c r="E136" s="1308"/>
      <c r="F136" s="1309"/>
    </row>
    <row r="140" ht="12">
      <c r="F140" s="1205"/>
    </row>
    <row r="148" ht="12">
      <c r="G148" s="1310"/>
    </row>
    <row r="149" ht="12">
      <c r="G149" s="1310"/>
    </row>
    <row r="150" ht="12">
      <c r="G150" s="1310"/>
    </row>
  </sheetData>
  <sheetProtection/>
  <mergeCells count="2">
    <mergeCell ref="A1:G1"/>
    <mergeCell ref="A2:G2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1"/>
  <rowBreaks count="1" manualBreakCount="1">
    <brk id="6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K151"/>
  <sheetViews>
    <sheetView showGridLines="0" view="pageBreakPreview" zoomScaleSheetLayoutView="100" zoomScalePageLayoutView="0" workbookViewId="0" topLeftCell="A1">
      <selection activeCell="A38" sqref="A38"/>
    </sheetView>
  </sheetViews>
  <sheetFormatPr defaultColWidth="9.00390625" defaultRowHeight="12"/>
  <cols>
    <col min="1" max="1" width="5.25390625" style="75" customWidth="1"/>
    <col min="2" max="2" width="47.00390625" style="185" customWidth="1"/>
    <col min="3" max="3" width="6.75390625" style="185" customWidth="1"/>
    <col min="4" max="4" width="10.75390625" style="185" customWidth="1"/>
    <col min="5" max="6" width="13.75390625" style="185" customWidth="1"/>
    <col min="7" max="7" width="10.625" style="78" customWidth="1"/>
    <col min="8" max="8" width="9.875" style="74" bestFit="1" customWidth="1"/>
    <col min="9" max="10" width="9.125" style="75" customWidth="1"/>
    <col min="11" max="11" width="10.125" style="75" bestFit="1" customWidth="1"/>
    <col min="12" max="16384" width="9.125" style="75" customWidth="1"/>
  </cols>
  <sheetData>
    <row r="1" spans="1:7" ht="18" customHeight="1">
      <c r="A1" s="1455" t="s">
        <v>262</v>
      </c>
      <c r="B1" s="1455"/>
      <c r="C1" s="1455"/>
      <c r="D1" s="1455"/>
      <c r="E1" s="1455"/>
      <c r="F1" s="1455"/>
      <c r="G1" s="1455"/>
    </row>
    <row r="2" spans="1:7" ht="18" customHeight="1">
      <c r="A2" s="1455" t="s">
        <v>263</v>
      </c>
      <c r="B2" s="1455"/>
      <c r="C2" s="1455"/>
      <c r="D2" s="1455"/>
      <c r="E2" s="1455"/>
      <c r="F2" s="1455"/>
      <c r="G2" s="1455"/>
    </row>
    <row r="3" spans="1:7" ht="16.5" thickBot="1">
      <c r="A3" s="76"/>
      <c r="B3" s="77"/>
      <c r="C3" s="77"/>
      <c r="D3" s="77"/>
      <c r="G3" s="79" t="s">
        <v>0</v>
      </c>
    </row>
    <row r="4" spans="1:7" ht="36.75" customHeight="1">
      <c r="A4" s="80" t="s">
        <v>264</v>
      </c>
      <c r="B4" s="81" t="s">
        <v>27</v>
      </c>
      <c r="C4" s="81" t="s">
        <v>1</v>
      </c>
      <c r="D4" s="81" t="s">
        <v>25</v>
      </c>
      <c r="E4" s="81" t="s">
        <v>3</v>
      </c>
      <c r="F4" s="82" t="s">
        <v>199</v>
      </c>
      <c r="G4" s="83" t="s">
        <v>265</v>
      </c>
    </row>
    <row r="5" spans="1:7" ht="12.75" customHeight="1" thickBot="1">
      <c r="A5" s="84">
        <v>1</v>
      </c>
      <c r="B5" s="85">
        <v>2</v>
      </c>
      <c r="C5" s="86">
        <v>3</v>
      </c>
      <c r="D5" s="86">
        <v>4</v>
      </c>
      <c r="E5" s="86">
        <v>5</v>
      </c>
      <c r="F5" s="87">
        <v>6</v>
      </c>
      <c r="G5" s="88">
        <v>7</v>
      </c>
    </row>
    <row r="6" spans="1:8" s="96" customFormat="1" ht="30" customHeight="1">
      <c r="A6" s="89"/>
      <c r="B6" s="90" t="s">
        <v>191</v>
      </c>
      <c r="C6" s="91"/>
      <c r="D6" s="91"/>
      <c r="E6" s="92">
        <f>SUM(E9:E14)</f>
        <v>10000</v>
      </c>
      <c r="F6" s="93">
        <f>SUM(F9:F14)</f>
        <v>10000</v>
      </c>
      <c r="G6" s="94">
        <f>SUM(F6/E6)</f>
        <v>1</v>
      </c>
      <c r="H6" s="95"/>
    </row>
    <row r="7" spans="1:8" s="96" customFormat="1" ht="5.25" customHeight="1">
      <c r="A7" s="97"/>
      <c r="B7" s="98"/>
      <c r="C7" s="187"/>
      <c r="D7" s="187"/>
      <c r="E7" s="188"/>
      <c r="F7" s="189"/>
      <c r="G7" s="99"/>
      <c r="H7" s="95"/>
    </row>
    <row r="8" spans="1:7" ht="12">
      <c r="A8" s="100">
        <v>1</v>
      </c>
      <c r="B8" s="101" t="s">
        <v>456</v>
      </c>
      <c r="C8" s="190"/>
      <c r="D8" s="190"/>
      <c r="E8" s="191"/>
      <c r="F8" s="192"/>
      <c r="G8" s="103"/>
    </row>
    <row r="9" spans="1:7" ht="12">
      <c r="A9" s="104"/>
      <c r="B9" s="101" t="s">
        <v>266</v>
      </c>
      <c r="C9" s="105">
        <v>630</v>
      </c>
      <c r="D9" s="105">
        <v>63003</v>
      </c>
      <c r="E9" s="106">
        <v>5000</v>
      </c>
      <c r="F9" s="107">
        <v>5000</v>
      </c>
      <c r="G9" s="72">
        <f>SUM(F9/E9)</f>
        <v>1</v>
      </c>
    </row>
    <row r="10" spans="1:8" ht="4.5" customHeight="1">
      <c r="A10" s="104"/>
      <c r="B10" s="108"/>
      <c r="C10" s="105"/>
      <c r="D10" s="105"/>
      <c r="E10" s="193"/>
      <c r="F10" s="192"/>
      <c r="G10" s="109"/>
      <c r="H10" s="110"/>
    </row>
    <row r="11" spans="1:7" ht="12">
      <c r="A11" s="100">
        <v>2</v>
      </c>
      <c r="B11" s="101" t="s">
        <v>267</v>
      </c>
      <c r="C11" s="105"/>
      <c r="D11" s="105"/>
      <c r="E11" s="193"/>
      <c r="F11" s="192"/>
      <c r="G11" s="72"/>
    </row>
    <row r="12" spans="1:7" ht="12">
      <c r="A12" s="104"/>
      <c r="B12" s="101" t="s">
        <v>268</v>
      </c>
      <c r="C12" s="105">
        <v>630</v>
      </c>
      <c r="D12" s="105">
        <v>63003</v>
      </c>
      <c r="E12" s="106">
        <v>2500</v>
      </c>
      <c r="F12" s="102">
        <v>2500</v>
      </c>
      <c r="G12" s="72">
        <f>SUM(F12/E12)</f>
        <v>1</v>
      </c>
    </row>
    <row r="13" spans="1:8" ht="3.75" customHeight="1">
      <c r="A13" s="104"/>
      <c r="B13" s="108"/>
      <c r="C13" s="105"/>
      <c r="D13" s="105"/>
      <c r="E13" s="193"/>
      <c r="F13" s="192"/>
      <c r="G13" s="109"/>
      <c r="H13" s="111"/>
    </row>
    <row r="14" spans="1:8" ht="12">
      <c r="A14" s="100">
        <v>3</v>
      </c>
      <c r="B14" s="101" t="s">
        <v>269</v>
      </c>
      <c r="C14" s="105">
        <v>630</v>
      </c>
      <c r="D14" s="105">
        <v>63003</v>
      </c>
      <c r="E14" s="106">
        <v>2500</v>
      </c>
      <c r="F14" s="102">
        <v>2500</v>
      </c>
      <c r="G14" s="109">
        <f>SUM(F14/E14)</f>
        <v>1</v>
      </c>
      <c r="H14" s="111"/>
    </row>
    <row r="15" spans="1:8" ht="9.75" customHeight="1">
      <c r="A15" s="104"/>
      <c r="B15" s="112"/>
      <c r="C15" s="194"/>
      <c r="D15" s="194"/>
      <c r="E15" s="195"/>
      <c r="F15" s="196"/>
      <c r="G15" s="113"/>
      <c r="H15" s="111"/>
    </row>
    <row r="16" spans="1:8" ht="5.25" customHeight="1">
      <c r="A16" s="114"/>
      <c r="B16" s="1456" t="s">
        <v>270</v>
      </c>
      <c r="C16" s="161"/>
      <c r="D16" s="161"/>
      <c r="E16" s="193"/>
      <c r="F16" s="192"/>
      <c r="G16" s="115"/>
      <c r="H16" s="111"/>
    </row>
    <row r="17" spans="1:8" s="96" customFormat="1" ht="17.25" customHeight="1">
      <c r="A17" s="116"/>
      <c r="B17" s="1457"/>
      <c r="C17" s="186"/>
      <c r="D17" s="186"/>
      <c r="E17" s="92">
        <f>E19+E24</f>
        <v>65000</v>
      </c>
      <c r="F17" s="93">
        <f>F19+F24</f>
        <v>65000</v>
      </c>
      <c r="G17" s="117">
        <f>SUM(F17/E17)</f>
        <v>1</v>
      </c>
      <c r="H17" s="118"/>
    </row>
    <row r="18" spans="1:8" s="123" customFormat="1" ht="9.75" customHeight="1">
      <c r="A18" s="119"/>
      <c r="B18" s="120"/>
      <c r="C18" s="197"/>
      <c r="D18" s="198"/>
      <c r="E18" s="199"/>
      <c r="F18" s="200"/>
      <c r="G18" s="121"/>
      <c r="H18" s="122"/>
    </row>
    <row r="19" spans="1:8" s="123" customFormat="1" ht="36">
      <c r="A19" s="119"/>
      <c r="B19" s="124" t="s">
        <v>372</v>
      </c>
      <c r="C19" s="198"/>
      <c r="D19" s="198"/>
      <c r="E19" s="125">
        <f>E22</f>
        <v>20000</v>
      </c>
      <c r="F19" s="126">
        <f>F22</f>
        <v>20000</v>
      </c>
      <c r="G19" s="121">
        <f>F19/E19</f>
        <v>1</v>
      </c>
      <c r="H19" s="122"/>
    </row>
    <row r="20" spans="1:8" ht="4.5" customHeight="1">
      <c r="A20" s="127"/>
      <c r="B20" s="128"/>
      <c r="C20" s="161"/>
      <c r="D20" s="161"/>
      <c r="E20" s="201"/>
      <c r="F20" s="202"/>
      <c r="G20" s="129"/>
      <c r="H20" s="110"/>
    </row>
    <row r="21" spans="1:7" ht="12">
      <c r="A21" s="100">
        <v>4</v>
      </c>
      <c r="B21" s="101" t="s">
        <v>271</v>
      </c>
      <c r="C21" s="161"/>
      <c r="D21" s="161"/>
      <c r="E21" s="193"/>
      <c r="F21" s="192"/>
      <c r="G21" s="115"/>
    </row>
    <row r="22" spans="1:7" ht="12">
      <c r="A22" s="100"/>
      <c r="B22" s="101" t="s">
        <v>272</v>
      </c>
      <c r="C22" s="105">
        <v>851</v>
      </c>
      <c r="D22" s="105">
        <v>85154</v>
      </c>
      <c r="E22" s="106">
        <v>20000</v>
      </c>
      <c r="F22" s="102">
        <v>20000</v>
      </c>
      <c r="G22" s="109">
        <f>SUM(F22/E22)</f>
        <v>1</v>
      </c>
    </row>
    <row r="23" spans="1:8" ht="3.75" customHeight="1">
      <c r="A23" s="100"/>
      <c r="B23" s="108"/>
      <c r="C23" s="161"/>
      <c r="D23" s="161"/>
      <c r="E23" s="193"/>
      <c r="F23" s="192"/>
      <c r="G23" s="109"/>
      <c r="H23" s="111"/>
    </row>
    <row r="24" spans="1:8" ht="22.5" customHeight="1">
      <c r="A24" s="127"/>
      <c r="B24" s="130" t="s">
        <v>373</v>
      </c>
      <c r="C24" s="197"/>
      <c r="D24" s="198"/>
      <c r="E24" s="125">
        <f>SUM(E27:E36)</f>
        <v>45000</v>
      </c>
      <c r="F24" s="131">
        <f>SUM(F27:F36)</f>
        <v>45000</v>
      </c>
      <c r="G24" s="121">
        <f>SUM(F24/E24)</f>
        <v>1</v>
      </c>
      <c r="H24" s="111"/>
    </row>
    <row r="25" spans="1:7" ht="12">
      <c r="A25" s="127"/>
      <c r="B25" s="132"/>
      <c r="C25" s="203"/>
      <c r="D25" s="198"/>
      <c r="E25" s="199"/>
      <c r="F25" s="204"/>
      <c r="G25" s="133"/>
    </row>
    <row r="26" spans="1:7" ht="12">
      <c r="A26" s="100">
        <v>5</v>
      </c>
      <c r="B26" s="101" t="s">
        <v>273</v>
      </c>
      <c r="C26" s="161"/>
      <c r="D26" s="161"/>
      <c r="E26" s="193"/>
      <c r="F26" s="192"/>
      <c r="G26" s="109"/>
    </row>
    <row r="27" spans="1:7" ht="12">
      <c r="A27" s="100"/>
      <c r="B27" s="101" t="s">
        <v>274</v>
      </c>
      <c r="C27" s="105">
        <v>851</v>
      </c>
      <c r="D27" s="105">
        <v>85195</v>
      </c>
      <c r="E27" s="106">
        <v>4500</v>
      </c>
      <c r="F27" s="102">
        <v>4500</v>
      </c>
      <c r="G27" s="109">
        <f>SUM(F27/E27)</f>
        <v>1</v>
      </c>
    </row>
    <row r="28" spans="1:8" ht="14.25" customHeight="1">
      <c r="A28" s="100">
        <v>6</v>
      </c>
      <c r="B28" s="101" t="s">
        <v>275</v>
      </c>
      <c r="C28" s="105">
        <v>851</v>
      </c>
      <c r="D28" s="105">
        <v>85195</v>
      </c>
      <c r="E28" s="106">
        <v>23000</v>
      </c>
      <c r="F28" s="102">
        <v>23000</v>
      </c>
      <c r="G28" s="109">
        <f>SUM(F28/E28)</f>
        <v>1</v>
      </c>
      <c r="H28" s="111"/>
    </row>
    <row r="29" spans="1:8" ht="2.25" customHeight="1">
      <c r="A29" s="100"/>
      <c r="B29" s="108"/>
      <c r="C29" s="105"/>
      <c r="D29" s="105"/>
      <c r="E29" s="193"/>
      <c r="F29" s="192"/>
      <c r="G29" s="109"/>
      <c r="H29" s="134"/>
    </row>
    <row r="30" spans="1:8" ht="12">
      <c r="A30" s="100">
        <v>7</v>
      </c>
      <c r="B30" s="101" t="s">
        <v>276</v>
      </c>
      <c r="C30" s="105">
        <v>851</v>
      </c>
      <c r="D30" s="105">
        <v>85195</v>
      </c>
      <c r="E30" s="106">
        <v>4600</v>
      </c>
      <c r="F30" s="102">
        <v>4600</v>
      </c>
      <c r="G30" s="109">
        <f>SUM(F30/E30)</f>
        <v>1</v>
      </c>
      <c r="H30" s="110"/>
    </row>
    <row r="31" spans="1:8" ht="12">
      <c r="A31" s="100"/>
      <c r="B31" s="101" t="s">
        <v>277</v>
      </c>
      <c r="C31" s="105"/>
      <c r="D31" s="105"/>
      <c r="E31" s="106"/>
      <c r="F31" s="102"/>
      <c r="G31" s="109"/>
      <c r="H31" s="110"/>
    </row>
    <row r="32" spans="1:8" ht="12">
      <c r="A32" s="100"/>
      <c r="B32" s="101" t="s">
        <v>278</v>
      </c>
      <c r="C32" s="105"/>
      <c r="D32" s="105"/>
      <c r="E32" s="106"/>
      <c r="F32" s="102"/>
      <c r="G32" s="109"/>
      <c r="H32" s="110"/>
    </row>
    <row r="33" spans="1:8" ht="2.25" customHeight="1">
      <c r="A33" s="100"/>
      <c r="B33" s="108"/>
      <c r="C33" s="105"/>
      <c r="D33" s="105"/>
      <c r="E33" s="106"/>
      <c r="F33" s="102"/>
      <c r="G33" s="109"/>
      <c r="H33" s="110"/>
    </row>
    <row r="34" spans="1:8" s="135" customFormat="1" ht="12">
      <c r="A34" s="100">
        <v>8</v>
      </c>
      <c r="B34" s="101" t="s">
        <v>279</v>
      </c>
      <c r="C34" s="105">
        <v>851</v>
      </c>
      <c r="D34" s="105">
        <v>85195</v>
      </c>
      <c r="E34" s="106">
        <v>7900</v>
      </c>
      <c r="F34" s="102">
        <v>7900</v>
      </c>
      <c r="G34" s="109">
        <f>SUM(F34/E34)</f>
        <v>1</v>
      </c>
      <c r="H34" s="110"/>
    </row>
    <row r="35" spans="1:8" s="135" customFormat="1" ht="3" customHeight="1">
      <c r="A35" s="100"/>
      <c r="B35" s="108"/>
      <c r="C35" s="105"/>
      <c r="D35" s="105"/>
      <c r="E35" s="193"/>
      <c r="F35" s="192"/>
      <c r="G35" s="109"/>
      <c r="H35" s="110"/>
    </row>
    <row r="36" spans="1:7" ht="12">
      <c r="A36" s="100">
        <v>9</v>
      </c>
      <c r="B36" s="136" t="s">
        <v>280</v>
      </c>
      <c r="C36" s="227">
        <v>851</v>
      </c>
      <c r="D36" s="227">
        <v>85195</v>
      </c>
      <c r="E36" s="228">
        <v>5000</v>
      </c>
      <c r="F36" s="229">
        <v>5000</v>
      </c>
      <c r="G36" s="113">
        <f>SUM(F36/E36)</f>
        <v>1</v>
      </c>
    </row>
    <row r="37" spans="1:7" ht="9" customHeight="1">
      <c r="A37" s="137"/>
      <c r="B37" s="1456" t="s">
        <v>281</v>
      </c>
      <c r="C37" s="161"/>
      <c r="D37" s="161"/>
      <c r="E37" s="193"/>
      <c r="F37" s="205"/>
      <c r="G37" s="109"/>
    </row>
    <row r="38" spans="1:8" s="96" customFormat="1" ht="12.75">
      <c r="A38" s="138"/>
      <c r="B38" s="1457"/>
      <c r="C38" s="186"/>
      <c r="D38" s="186"/>
      <c r="E38" s="92">
        <f>E40+E46</f>
        <v>285000</v>
      </c>
      <c r="F38" s="93">
        <f>F40+F46</f>
        <v>228747</v>
      </c>
      <c r="G38" s="117">
        <f>SUM(F38/E38)</f>
        <v>0.8026210526315789</v>
      </c>
      <c r="H38" s="139"/>
    </row>
    <row r="39" spans="1:7" ht="6.75" customHeight="1">
      <c r="A39" s="100"/>
      <c r="B39" s="140"/>
      <c r="C39" s="161"/>
      <c r="D39" s="161"/>
      <c r="E39" s="193"/>
      <c r="F39" s="192"/>
      <c r="G39" s="109"/>
    </row>
    <row r="40" spans="1:8" s="144" customFormat="1" ht="24">
      <c r="A40" s="141"/>
      <c r="B40" s="130" t="s">
        <v>374</v>
      </c>
      <c r="C40" s="206"/>
      <c r="D40" s="206"/>
      <c r="E40" s="125">
        <f>SUM(E42)</f>
        <v>175000</v>
      </c>
      <c r="F40" s="126">
        <f>F42</f>
        <v>131247</v>
      </c>
      <c r="G40" s="142">
        <f>F40/E40</f>
        <v>0.7499828571428572</v>
      </c>
      <c r="H40" s="143"/>
    </row>
    <row r="41" spans="1:7" ht="5.25" customHeight="1">
      <c r="A41" s="100"/>
      <c r="B41" s="140"/>
      <c r="C41" s="161"/>
      <c r="D41" s="161"/>
      <c r="E41" s="193"/>
      <c r="F41" s="192"/>
      <c r="G41" s="109"/>
    </row>
    <row r="42" spans="1:7" ht="12">
      <c r="A42" s="100">
        <v>10</v>
      </c>
      <c r="B42" s="101" t="s">
        <v>282</v>
      </c>
      <c r="C42" s="105">
        <v>852</v>
      </c>
      <c r="D42" s="105">
        <v>85203</v>
      </c>
      <c r="E42" s="106">
        <v>175000</v>
      </c>
      <c r="F42" s="102">
        <v>131247</v>
      </c>
      <c r="G42" s="109">
        <f>F42/E42</f>
        <v>0.7499828571428572</v>
      </c>
    </row>
    <row r="43" spans="1:7" ht="12">
      <c r="A43" s="100"/>
      <c r="B43" s="101" t="s">
        <v>283</v>
      </c>
      <c r="C43" s="161"/>
      <c r="D43" s="161"/>
      <c r="E43" s="193"/>
      <c r="F43" s="192"/>
      <c r="G43" s="109"/>
    </row>
    <row r="44" spans="1:7" ht="12">
      <c r="A44" s="100"/>
      <c r="B44" s="101" t="s">
        <v>284</v>
      </c>
      <c r="C44" s="161"/>
      <c r="D44" s="161"/>
      <c r="E44" s="193"/>
      <c r="F44" s="192"/>
      <c r="G44" s="109"/>
    </row>
    <row r="45" spans="1:7" ht="4.5" customHeight="1">
      <c r="A45" s="100"/>
      <c r="B45" s="140"/>
      <c r="C45" s="161"/>
      <c r="D45" s="161"/>
      <c r="E45" s="193"/>
      <c r="F45" s="192"/>
      <c r="G45" s="109"/>
    </row>
    <row r="46" spans="1:8" s="144" customFormat="1" ht="36">
      <c r="A46" s="141"/>
      <c r="B46" s="130" t="s">
        <v>375</v>
      </c>
      <c r="C46" s="206"/>
      <c r="D46" s="206"/>
      <c r="E46" s="125">
        <f>E48</f>
        <v>110000</v>
      </c>
      <c r="F46" s="125">
        <f>F48</f>
        <v>97500</v>
      </c>
      <c r="G46" s="142">
        <f>F46/E46</f>
        <v>0.8863636363636364</v>
      </c>
      <c r="H46" s="143"/>
    </row>
    <row r="47" spans="1:7" ht="4.5" customHeight="1">
      <c r="A47" s="100"/>
      <c r="B47" s="140"/>
      <c r="C47" s="161"/>
      <c r="D47" s="161"/>
      <c r="E47" s="193"/>
      <c r="F47" s="192"/>
      <c r="G47" s="109"/>
    </row>
    <row r="48" spans="1:7" ht="12">
      <c r="A48" s="100">
        <v>11</v>
      </c>
      <c r="B48" s="101" t="s">
        <v>285</v>
      </c>
      <c r="C48" s="105">
        <v>852</v>
      </c>
      <c r="D48" s="105">
        <v>85295</v>
      </c>
      <c r="E48" s="106">
        <f>50000+60000</f>
        <v>110000</v>
      </c>
      <c r="F48" s="102">
        <f>37500+60000</f>
        <v>97500</v>
      </c>
      <c r="G48" s="72">
        <f>SUM(F48/E48)</f>
        <v>0.8863636363636364</v>
      </c>
    </row>
    <row r="49" spans="1:7" ht="12">
      <c r="A49" s="100"/>
      <c r="B49" s="101" t="s">
        <v>286</v>
      </c>
      <c r="C49" s="105"/>
      <c r="D49" s="105"/>
      <c r="E49" s="106"/>
      <c r="F49" s="102"/>
      <c r="G49" s="72"/>
    </row>
    <row r="50" spans="1:7" ht="12">
      <c r="A50" s="100"/>
      <c r="B50" s="101" t="s">
        <v>457</v>
      </c>
      <c r="C50" s="105"/>
      <c r="D50" s="105"/>
      <c r="E50" s="106"/>
      <c r="F50" s="102"/>
      <c r="G50" s="72"/>
    </row>
    <row r="51" spans="1:7" ht="12">
      <c r="A51" s="100"/>
      <c r="B51" s="108"/>
      <c r="C51" s="161"/>
      <c r="D51" s="161"/>
      <c r="E51" s="193"/>
      <c r="F51" s="192"/>
      <c r="G51" s="109"/>
    </row>
    <row r="52" spans="1:11" s="96" customFormat="1" ht="20.25" customHeight="1">
      <c r="A52" s="145"/>
      <c r="B52" s="146" t="s">
        <v>287</v>
      </c>
      <c r="C52" s="207"/>
      <c r="D52" s="207"/>
      <c r="E52" s="147">
        <f>E54</f>
        <v>12000</v>
      </c>
      <c r="F52" s="148">
        <f>F54</f>
        <v>12000</v>
      </c>
      <c r="G52" s="149">
        <f>SUM(F52/E52)</f>
        <v>1</v>
      </c>
      <c r="H52" s="139"/>
      <c r="K52" s="860"/>
    </row>
    <row r="53" spans="1:8" ht="12">
      <c r="A53" s="100"/>
      <c r="B53" s="108"/>
      <c r="C53" s="161"/>
      <c r="D53" s="161"/>
      <c r="E53" s="193"/>
      <c r="F53" s="192"/>
      <c r="G53" s="109"/>
      <c r="H53" s="134"/>
    </row>
    <row r="54" spans="1:8" ht="48">
      <c r="A54" s="100"/>
      <c r="B54" s="130" t="s">
        <v>381</v>
      </c>
      <c r="C54" s="161"/>
      <c r="D54" s="161"/>
      <c r="E54" s="756">
        <f>E56+E58</f>
        <v>12000</v>
      </c>
      <c r="F54" s="756">
        <f>F56+F58</f>
        <v>12000</v>
      </c>
      <c r="G54" s="72">
        <f>F54/E54</f>
        <v>1</v>
      </c>
      <c r="H54" s="134"/>
    </row>
    <row r="55" spans="1:8" ht="12">
      <c r="A55" s="100"/>
      <c r="B55" s="108"/>
      <c r="C55" s="161"/>
      <c r="D55" s="161"/>
      <c r="E55" s="193"/>
      <c r="F55" s="205"/>
      <c r="G55" s="109"/>
      <c r="H55" s="134"/>
    </row>
    <row r="56" spans="1:7" ht="12">
      <c r="A56" s="100">
        <v>12</v>
      </c>
      <c r="B56" s="101" t="s">
        <v>322</v>
      </c>
      <c r="C56" s="105">
        <v>853</v>
      </c>
      <c r="D56" s="105">
        <v>85395</v>
      </c>
      <c r="E56" s="106">
        <v>8000</v>
      </c>
      <c r="F56" s="225">
        <v>8000</v>
      </c>
      <c r="G56" s="72">
        <f>F56/E56</f>
        <v>1</v>
      </c>
    </row>
    <row r="57" spans="1:7" ht="3.75" customHeight="1">
      <c r="A57" s="100"/>
      <c r="B57" s="150"/>
      <c r="C57" s="105"/>
      <c r="D57" s="105"/>
      <c r="E57" s="829"/>
      <c r="F57" s="830"/>
      <c r="G57" s="72"/>
    </row>
    <row r="58" spans="1:7" ht="16.5" customHeight="1">
      <c r="A58" s="100">
        <v>13</v>
      </c>
      <c r="B58" s="101" t="s">
        <v>320</v>
      </c>
      <c r="C58" s="105">
        <v>853</v>
      </c>
      <c r="D58" s="105">
        <v>85395</v>
      </c>
      <c r="E58" s="106">
        <v>4000</v>
      </c>
      <c r="F58" s="102">
        <v>4000</v>
      </c>
      <c r="G58" s="72">
        <f>F58/E58</f>
        <v>1</v>
      </c>
    </row>
    <row r="59" spans="1:7" ht="16.5" customHeight="1" thickBot="1">
      <c r="A59" s="151"/>
      <c r="B59" s="152" t="s">
        <v>321</v>
      </c>
      <c r="C59" s="261"/>
      <c r="D59" s="261"/>
      <c r="E59" s="1329"/>
      <c r="F59" s="1330"/>
      <c r="G59" s="1263"/>
    </row>
    <row r="60" spans="1:7" ht="12.75" customHeight="1">
      <c r="A60" s="1331">
        <v>1</v>
      </c>
      <c r="B60" s="1332">
        <v>2</v>
      </c>
      <c r="C60" s="1333">
        <v>3</v>
      </c>
      <c r="D60" s="1333">
        <v>4</v>
      </c>
      <c r="E60" s="1333">
        <v>5</v>
      </c>
      <c r="F60" s="1334">
        <v>6</v>
      </c>
      <c r="G60" s="1335">
        <v>7</v>
      </c>
    </row>
    <row r="61" spans="1:8" s="96" customFormat="1" ht="25.5">
      <c r="A61" s="153"/>
      <c r="B61" s="154" t="s">
        <v>288</v>
      </c>
      <c r="C61" s="186"/>
      <c r="D61" s="186"/>
      <c r="E61" s="92">
        <f>E63+E77</f>
        <v>120000</v>
      </c>
      <c r="F61" s="93">
        <f>F63+F77</f>
        <v>120000</v>
      </c>
      <c r="G61" s="117">
        <f>SUM(F61/E61)</f>
        <v>1</v>
      </c>
      <c r="H61" s="139"/>
    </row>
    <row r="62" spans="1:7" ht="8.25" customHeight="1">
      <c r="A62" s="100"/>
      <c r="B62" s="155"/>
      <c r="C62" s="208"/>
      <c r="D62" s="161"/>
      <c r="E62" s="193"/>
      <c r="F62" s="192"/>
      <c r="G62" s="109"/>
    </row>
    <row r="63" spans="1:8" s="144" customFormat="1" ht="24">
      <c r="A63" s="141"/>
      <c r="B63" s="130" t="s">
        <v>376</v>
      </c>
      <c r="C63" s="209"/>
      <c r="D63" s="206"/>
      <c r="E63" s="125">
        <f>SUM(E65:E74)</f>
        <v>60000</v>
      </c>
      <c r="F63" s="131">
        <f>SUM(F65:F74)</f>
        <v>60000</v>
      </c>
      <c r="G63" s="142">
        <f>F63/E63</f>
        <v>1</v>
      </c>
      <c r="H63" s="143"/>
    </row>
    <row r="64" spans="1:7" ht="12">
      <c r="A64" s="100"/>
      <c r="B64" s="156"/>
      <c r="C64" s="161"/>
      <c r="D64" s="161"/>
      <c r="E64" s="193"/>
      <c r="F64" s="192"/>
      <c r="G64" s="109"/>
    </row>
    <row r="65" spans="1:7" ht="12">
      <c r="A65" s="100">
        <v>14</v>
      </c>
      <c r="B65" s="101" t="s">
        <v>289</v>
      </c>
      <c r="C65" s="105">
        <v>854</v>
      </c>
      <c r="D65" s="105">
        <v>85412</v>
      </c>
      <c r="E65" s="106">
        <v>15000</v>
      </c>
      <c r="F65" s="102">
        <v>15000</v>
      </c>
      <c r="G65" s="72">
        <f>SUM(F65/E65)</f>
        <v>1</v>
      </c>
    </row>
    <row r="66" spans="1:7" ht="12">
      <c r="A66" s="100"/>
      <c r="B66" s="101" t="s">
        <v>290</v>
      </c>
      <c r="C66" s="105"/>
      <c r="D66" s="105"/>
      <c r="E66" s="193"/>
      <c r="F66" s="192"/>
      <c r="G66" s="170"/>
    </row>
    <row r="67" spans="1:8" ht="3" customHeight="1">
      <c r="A67" s="100"/>
      <c r="B67" s="108"/>
      <c r="C67" s="161"/>
      <c r="D67" s="161"/>
      <c r="E67" s="193"/>
      <c r="F67" s="192"/>
      <c r="G67" s="157"/>
      <c r="H67" s="158"/>
    </row>
    <row r="68" spans="1:8" ht="12">
      <c r="A68" s="100">
        <v>15</v>
      </c>
      <c r="B68" s="101" t="s">
        <v>291</v>
      </c>
      <c r="C68" s="105">
        <v>854</v>
      </c>
      <c r="D68" s="105">
        <v>85412</v>
      </c>
      <c r="E68" s="106">
        <v>20000</v>
      </c>
      <c r="F68" s="102">
        <v>20000</v>
      </c>
      <c r="G68" s="157">
        <f>SUM(F68/E68)</f>
        <v>1</v>
      </c>
      <c r="H68" s="158"/>
    </row>
    <row r="69" spans="1:8" ht="12">
      <c r="A69" s="100"/>
      <c r="B69" s="159" t="s">
        <v>292</v>
      </c>
      <c r="C69" s="105"/>
      <c r="D69" s="105"/>
      <c r="E69" s="831"/>
      <c r="F69" s="192"/>
      <c r="G69" s="160"/>
      <c r="H69" s="158"/>
    </row>
    <row r="70" spans="1:8" ht="3" customHeight="1">
      <c r="A70" s="100"/>
      <c r="B70" s="161"/>
      <c r="C70" s="105"/>
      <c r="D70" s="105"/>
      <c r="E70" s="831"/>
      <c r="F70" s="192"/>
      <c r="G70" s="160"/>
      <c r="H70" s="158"/>
    </row>
    <row r="71" spans="1:8" ht="12">
      <c r="A71" s="100">
        <v>16</v>
      </c>
      <c r="B71" s="101" t="s">
        <v>293</v>
      </c>
      <c r="C71" s="226">
        <v>854</v>
      </c>
      <c r="D71" s="105">
        <v>85412</v>
      </c>
      <c r="E71" s="106">
        <v>21000</v>
      </c>
      <c r="F71" s="102">
        <v>21000</v>
      </c>
      <c r="G71" s="157">
        <f>SUM(F71/E71)</f>
        <v>1</v>
      </c>
      <c r="H71" s="158"/>
    </row>
    <row r="72" spans="1:8" ht="12">
      <c r="A72" s="100"/>
      <c r="B72" s="101" t="s">
        <v>294</v>
      </c>
      <c r="C72" s="226"/>
      <c r="D72" s="105"/>
      <c r="E72" s="193"/>
      <c r="F72" s="192"/>
      <c r="G72" s="157"/>
      <c r="H72" s="158"/>
    </row>
    <row r="73" spans="1:8" ht="3.75" customHeight="1">
      <c r="A73" s="100"/>
      <c r="B73" s="108"/>
      <c r="C73" s="226"/>
      <c r="D73" s="105"/>
      <c r="E73" s="193"/>
      <c r="F73" s="192"/>
      <c r="G73" s="157"/>
      <c r="H73" s="158"/>
    </row>
    <row r="74" spans="1:8" ht="12">
      <c r="A74" s="100">
        <v>17</v>
      </c>
      <c r="B74" s="101" t="s">
        <v>382</v>
      </c>
      <c r="C74" s="226">
        <v>854</v>
      </c>
      <c r="D74" s="105">
        <v>85412</v>
      </c>
      <c r="E74" s="106">
        <v>4000</v>
      </c>
      <c r="F74" s="102">
        <v>4000</v>
      </c>
      <c r="G74" s="157">
        <f>F74/E74</f>
        <v>1</v>
      </c>
      <c r="H74" s="158"/>
    </row>
    <row r="75" spans="1:8" ht="11.25" customHeight="1">
      <c r="A75" s="100"/>
      <c r="B75" s="101" t="s">
        <v>278</v>
      </c>
      <c r="C75" s="210"/>
      <c r="D75" s="161"/>
      <c r="E75" s="106"/>
      <c r="F75" s="102"/>
      <c r="G75" s="157"/>
      <c r="H75" s="158"/>
    </row>
    <row r="76" spans="1:8" ht="3" customHeight="1">
      <c r="A76" s="100"/>
      <c r="B76" s="101"/>
      <c r="C76" s="210"/>
      <c r="D76" s="161"/>
      <c r="E76" s="193"/>
      <c r="F76" s="192"/>
      <c r="G76" s="157"/>
      <c r="H76" s="158"/>
    </row>
    <row r="77" spans="1:8" s="144" customFormat="1" ht="23.25" customHeight="1">
      <c r="A77" s="141"/>
      <c r="B77" s="124" t="s">
        <v>377</v>
      </c>
      <c r="C77" s="211"/>
      <c r="D77" s="206"/>
      <c r="E77" s="125">
        <f>E79+E82</f>
        <v>60000</v>
      </c>
      <c r="F77" s="131">
        <f>F79+F82</f>
        <v>60000</v>
      </c>
      <c r="G77" s="142">
        <f>F77/E77</f>
        <v>1</v>
      </c>
      <c r="H77" s="143"/>
    </row>
    <row r="78" spans="1:8" ht="6" customHeight="1">
      <c r="A78" s="100"/>
      <c r="B78" s="156"/>
      <c r="C78" s="161"/>
      <c r="D78" s="161"/>
      <c r="E78" s="193"/>
      <c r="F78" s="192"/>
      <c r="G78" s="109"/>
      <c r="H78" s="111"/>
    </row>
    <row r="79" spans="1:7" ht="12">
      <c r="A79" s="100">
        <v>18</v>
      </c>
      <c r="B79" s="101" t="s">
        <v>295</v>
      </c>
      <c r="C79" s="105">
        <v>854</v>
      </c>
      <c r="D79" s="105">
        <v>85495</v>
      </c>
      <c r="E79" s="106">
        <v>30000</v>
      </c>
      <c r="F79" s="102">
        <v>30000</v>
      </c>
      <c r="G79" s="109">
        <f>SUM(F79/E79)</f>
        <v>1</v>
      </c>
    </row>
    <row r="80" spans="1:8" ht="12">
      <c r="A80" s="100"/>
      <c r="B80" s="101" t="s">
        <v>296</v>
      </c>
      <c r="C80" s="105"/>
      <c r="D80" s="105"/>
      <c r="E80" s="193"/>
      <c r="F80" s="192"/>
      <c r="G80" s="157"/>
      <c r="H80" s="111"/>
    </row>
    <row r="81" spans="1:8" ht="3" customHeight="1">
      <c r="A81" s="100"/>
      <c r="B81" s="101"/>
      <c r="C81" s="105"/>
      <c r="D81" s="105"/>
      <c r="E81" s="193"/>
      <c r="F81" s="192"/>
      <c r="G81" s="157"/>
      <c r="H81" s="111"/>
    </row>
    <row r="82" spans="1:7" ht="12">
      <c r="A82" s="100">
        <v>19</v>
      </c>
      <c r="B82" s="101" t="s">
        <v>295</v>
      </c>
      <c r="C82" s="105">
        <v>854</v>
      </c>
      <c r="D82" s="105">
        <v>85495</v>
      </c>
      <c r="E82" s="106">
        <v>30000</v>
      </c>
      <c r="F82" s="102">
        <v>30000</v>
      </c>
      <c r="G82" s="109">
        <f>SUM(F82/E82)</f>
        <v>1</v>
      </c>
    </row>
    <row r="83" spans="1:8" ht="12">
      <c r="A83" s="100"/>
      <c r="B83" s="101" t="s">
        <v>296</v>
      </c>
      <c r="C83" s="161"/>
      <c r="D83" s="161"/>
      <c r="E83" s="193"/>
      <c r="F83" s="192"/>
      <c r="G83" s="157"/>
      <c r="H83" s="111"/>
    </row>
    <row r="84" spans="1:8" s="96" customFormat="1" ht="25.5">
      <c r="A84" s="162"/>
      <c r="B84" s="163" t="s">
        <v>297</v>
      </c>
      <c r="C84" s="212"/>
      <c r="D84" s="207"/>
      <c r="E84" s="147">
        <f>E86+E92</f>
        <v>82000</v>
      </c>
      <c r="F84" s="164">
        <f>F86+F92</f>
        <v>50000</v>
      </c>
      <c r="G84" s="165">
        <f>F84/E84</f>
        <v>0.6097560975609756</v>
      </c>
      <c r="H84" s="1296"/>
    </row>
    <row r="85" spans="1:8" ht="8.25" customHeight="1">
      <c r="A85" s="100"/>
      <c r="B85" s="166"/>
      <c r="C85" s="213"/>
      <c r="D85" s="214"/>
      <c r="E85" s="215"/>
      <c r="F85" s="216"/>
      <c r="G85" s="73"/>
      <c r="H85" s="158"/>
    </row>
    <row r="86" spans="1:8" s="144" customFormat="1" ht="24">
      <c r="A86" s="141"/>
      <c r="B86" s="130" t="s">
        <v>378</v>
      </c>
      <c r="C86" s="206"/>
      <c r="D86" s="206"/>
      <c r="E86" s="125">
        <f>SUM(E88:E91)</f>
        <v>42000</v>
      </c>
      <c r="F86" s="131">
        <f>SUM(F88:F91)</f>
        <v>10000</v>
      </c>
      <c r="G86" s="167">
        <f>SUM(F86/E86)</f>
        <v>0.23809523809523808</v>
      </c>
      <c r="H86" s="143"/>
    </row>
    <row r="87" spans="1:7" ht="5.25" customHeight="1">
      <c r="A87" s="100"/>
      <c r="B87" s="168"/>
      <c r="C87" s="208"/>
      <c r="D87" s="161"/>
      <c r="E87" s="193"/>
      <c r="F87" s="192"/>
      <c r="G87" s="157"/>
    </row>
    <row r="88" spans="1:7" ht="12">
      <c r="A88" s="100">
        <v>20</v>
      </c>
      <c r="B88" s="169" t="s">
        <v>298</v>
      </c>
      <c r="C88" s="226">
        <v>921</v>
      </c>
      <c r="D88" s="105">
        <v>92120</v>
      </c>
      <c r="E88" s="106">
        <v>10000</v>
      </c>
      <c r="F88" s="102">
        <v>10000</v>
      </c>
      <c r="G88" s="170">
        <f>F88/E88</f>
        <v>1</v>
      </c>
    </row>
    <row r="89" spans="1:7" ht="3.75" customHeight="1">
      <c r="A89" s="100"/>
      <c r="B89" s="169"/>
      <c r="C89" s="226"/>
      <c r="D89" s="105"/>
      <c r="E89" s="193"/>
      <c r="F89" s="192"/>
      <c r="G89" s="170"/>
    </row>
    <row r="90" spans="1:7" ht="12">
      <c r="A90" s="100">
        <v>21</v>
      </c>
      <c r="B90" s="169" t="s">
        <v>299</v>
      </c>
      <c r="C90" s="226">
        <v>921</v>
      </c>
      <c r="D90" s="105">
        <v>92120</v>
      </c>
      <c r="E90" s="106">
        <v>32000</v>
      </c>
      <c r="F90" s="102">
        <v>0</v>
      </c>
      <c r="G90" s="170">
        <f>F90/E90</f>
        <v>0</v>
      </c>
    </row>
    <row r="91" spans="1:7" ht="3.75" customHeight="1">
      <c r="A91" s="100"/>
      <c r="B91" s="169"/>
      <c r="C91" s="210"/>
      <c r="D91" s="161"/>
      <c r="E91" s="193"/>
      <c r="F91" s="192"/>
      <c r="G91" s="170"/>
    </row>
    <row r="92" spans="1:8" s="172" customFormat="1" ht="36">
      <c r="A92" s="171"/>
      <c r="B92" s="130" t="s">
        <v>379</v>
      </c>
      <c r="C92" s="217"/>
      <c r="D92" s="217"/>
      <c r="E92" s="125">
        <f>SUM(E94:E102)</f>
        <v>40000</v>
      </c>
      <c r="F92" s="131">
        <f>SUM(F94:F102)</f>
        <v>40000</v>
      </c>
      <c r="G92" s="167">
        <f>SUM(F92/E92)</f>
        <v>1</v>
      </c>
      <c r="H92" s="1297"/>
    </row>
    <row r="93" spans="1:8" ht="12">
      <c r="A93" s="100"/>
      <c r="B93" s="173"/>
      <c r="C93" s="161"/>
      <c r="D93" s="161"/>
      <c r="E93" s="193"/>
      <c r="F93" s="192"/>
      <c r="G93" s="157"/>
      <c r="H93" s="111"/>
    </row>
    <row r="94" spans="1:7" ht="12" customHeight="1">
      <c r="A94" s="100">
        <v>22</v>
      </c>
      <c r="B94" s="101" t="s">
        <v>269</v>
      </c>
      <c r="C94" s="105">
        <v>921</v>
      </c>
      <c r="D94" s="105">
        <v>92195</v>
      </c>
      <c r="E94" s="106">
        <v>21000</v>
      </c>
      <c r="F94" s="102">
        <v>21000</v>
      </c>
      <c r="G94" s="157">
        <f>F94/E94</f>
        <v>1</v>
      </c>
    </row>
    <row r="95" spans="1:8" ht="2.25" customHeight="1">
      <c r="A95" s="100"/>
      <c r="B95" s="101"/>
      <c r="C95" s="105"/>
      <c r="D95" s="105"/>
      <c r="E95" s="193"/>
      <c r="F95" s="192"/>
      <c r="G95" s="157"/>
      <c r="H95" s="111"/>
    </row>
    <row r="96" spans="1:7" ht="11.25" customHeight="1">
      <c r="A96" s="100">
        <v>23</v>
      </c>
      <c r="B96" s="101" t="s">
        <v>300</v>
      </c>
      <c r="C96" s="105">
        <v>921</v>
      </c>
      <c r="D96" s="105">
        <v>92195</v>
      </c>
      <c r="E96" s="106">
        <v>2960</v>
      </c>
      <c r="F96" s="102">
        <v>2960</v>
      </c>
      <c r="G96" s="157">
        <f>SUM(F96/E96)</f>
        <v>1</v>
      </c>
    </row>
    <row r="97" spans="1:7" ht="11.25" customHeight="1">
      <c r="A97" s="100"/>
      <c r="B97" s="101" t="s">
        <v>301</v>
      </c>
      <c r="C97" s="105"/>
      <c r="D97" s="105"/>
      <c r="E97" s="193"/>
      <c r="F97" s="192"/>
      <c r="G97" s="157"/>
    </row>
    <row r="98" spans="1:7" ht="3.75" customHeight="1">
      <c r="A98" s="100"/>
      <c r="B98" s="108"/>
      <c r="C98" s="105"/>
      <c r="D98" s="105"/>
      <c r="E98" s="193"/>
      <c r="F98" s="192"/>
      <c r="G98" s="157"/>
    </row>
    <row r="99" spans="1:7" ht="11.25" customHeight="1">
      <c r="A99" s="100">
        <v>24</v>
      </c>
      <c r="B99" s="101" t="s">
        <v>302</v>
      </c>
      <c r="C99" s="105"/>
      <c r="D99" s="105"/>
      <c r="E99" s="193"/>
      <c r="F99" s="192"/>
      <c r="G99" s="170"/>
    </row>
    <row r="100" spans="1:7" ht="11.25" customHeight="1">
      <c r="A100" s="100"/>
      <c r="B100" s="101" t="s">
        <v>290</v>
      </c>
      <c r="C100" s="105">
        <v>921</v>
      </c>
      <c r="D100" s="105">
        <v>92195</v>
      </c>
      <c r="E100" s="106">
        <v>10040</v>
      </c>
      <c r="F100" s="102">
        <v>10040</v>
      </c>
      <c r="G100" s="170">
        <f>SUM(F100/E100)</f>
        <v>1</v>
      </c>
    </row>
    <row r="101" spans="1:7" ht="2.25" customHeight="1">
      <c r="A101" s="100"/>
      <c r="B101" s="108"/>
      <c r="C101" s="105"/>
      <c r="D101" s="105"/>
      <c r="E101" s="193"/>
      <c r="F101" s="192"/>
      <c r="G101" s="170"/>
    </row>
    <row r="102" spans="1:7" ht="11.25" customHeight="1">
      <c r="A102" s="100">
        <v>25</v>
      </c>
      <c r="B102" s="101" t="s">
        <v>323</v>
      </c>
      <c r="C102" s="105">
        <v>921</v>
      </c>
      <c r="D102" s="105">
        <v>92195</v>
      </c>
      <c r="E102" s="106">
        <v>6000</v>
      </c>
      <c r="F102" s="102">
        <v>6000</v>
      </c>
      <c r="G102" s="170">
        <f>F102/E102</f>
        <v>1</v>
      </c>
    </row>
    <row r="103" spans="1:7" ht="3" customHeight="1">
      <c r="A103" s="100"/>
      <c r="B103" s="108"/>
      <c r="C103" s="161"/>
      <c r="D103" s="161"/>
      <c r="E103" s="193"/>
      <c r="F103" s="192"/>
      <c r="G103" s="157"/>
    </row>
    <row r="104" spans="1:8" s="96" customFormat="1" ht="25.5">
      <c r="A104" s="145"/>
      <c r="B104" s="757" t="s">
        <v>380</v>
      </c>
      <c r="C104" s="218"/>
      <c r="D104" s="218"/>
      <c r="E104" s="174">
        <f>SUM(E106:E126)</f>
        <v>1081000</v>
      </c>
      <c r="F104" s="174">
        <f>SUM(F106:F126)</f>
        <v>834000</v>
      </c>
      <c r="G104" s="149">
        <f>SUM(F104/E104)</f>
        <v>0.7715078630897317</v>
      </c>
      <c r="H104" s="95"/>
    </row>
    <row r="105" spans="1:8" ht="12">
      <c r="A105" s="100"/>
      <c r="B105" s="140"/>
      <c r="C105" s="219"/>
      <c r="D105" s="219"/>
      <c r="E105" s="220"/>
      <c r="F105" s="221"/>
      <c r="G105" s="175"/>
      <c r="H105" s="111"/>
    </row>
    <row r="106" spans="1:10" ht="12">
      <c r="A106" s="100">
        <v>26</v>
      </c>
      <c r="B106" s="101" t="s">
        <v>324</v>
      </c>
      <c r="C106" s="105">
        <v>926</v>
      </c>
      <c r="D106" s="105">
        <v>92605</v>
      </c>
      <c r="E106" s="106">
        <f>200000+90000+100000</f>
        <v>390000</v>
      </c>
      <c r="F106" s="102">
        <f>151000+90000+100000</f>
        <v>341000</v>
      </c>
      <c r="G106" s="157">
        <f>SUM(F106/E106)</f>
        <v>0.8743589743589744</v>
      </c>
      <c r="J106" s="861"/>
    </row>
    <row r="107" spans="1:8" ht="12">
      <c r="A107" s="100">
        <v>27</v>
      </c>
      <c r="B107" s="101" t="s">
        <v>303</v>
      </c>
      <c r="C107" s="105">
        <v>926</v>
      </c>
      <c r="D107" s="105">
        <v>92605</v>
      </c>
      <c r="E107" s="106">
        <f>55000+82000+30000</f>
        <v>167000</v>
      </c>
      <c r="F107" s="102">
        <f>55000+82000+30000</f>
        <v>167000</v>
      </c>
      <c r="G107" s="157">
        <f>SUM(F107/E107)</f>
        <v>1</v>
      </c>
      <c r="H107" s="111"/>
    </row>
    <row r="108" spans="1:8" ht="12">
      <c r="A108" s="100">
        <v>28</v>
      </c>
      <c r="B108" s="101" t="s">
        <v>304</v>
      </c>
      <c r="C108" s="105">
        <v>926</v>
      </c>
      <c r="D108" s="105">
        <v>92605</v>
      </c>
      <c r="E108" s="106">
        <v>50000</v>
      </c>
      <c r="F108" s="102">
        <v>50000</v>
      </c>
      <c r="G108" s="157">
        <f>SUM(F108/E108)</f>
        <v>1</v>
      </c>
      <c r="H108" s="111"/>
    </row>
    <row r="109" spans="1:8" ht="12">
      <c r="A109" s="100">
        <v>29</v>
      </c>
      <c r="B109" s="101" t="s">
        <v>305</v>
      </c>
      <c r="C109" s="105">
        <v>926</v>
      </c>
      <c r="D109" s="105">
        <v>92605</v>
      </c>
      <c r="E109" s="106">
        <v>40000</v>
      </c>
      <c r="F109" s="102">
        <v>40000</v>
      </c>
      <c r="G109" s="157">
        <f>SUM(F109/E109)</f>
        <v>1</v>
      </c>
      <c r="H109" s="111"/>
    </row>
    <row r="110" spans="1:8" ht="12">
      <c r="A110" s="100">
        <v>30</v>
      </c>
      <c r="B110" s="101" t="s">
        <v>306</v>
      </c>
      <c r="C110" s="105">
        <v>926</v>
      </c>
      <c r="D110" s="105">
        <v>92605</v>
      </c>
      <c r="E110" s="106">
        <v>25000</v>
      </c>
      <c r="F110" s="102">
        <v>25000</v>
      </c>
      <c r="G110" s="157">
        <f>SUM(F110/E110)</f>
        <v>1</v>
      </c>
      <c r="H110" s="111"/>
    </row>
    <row r="111" spans="1:8" ht="12">
      <c r="A111" s="100"/>
      <c r="B111" s="101" t="s">
        <v>307</v>
      </c>
      <c r="C111" s="161"/>
      <c r="D111" s="161"/>
      <c r="E111" s="193"/>
      <c r="F111" s="192"/>
      <c r="G111" s="157"/>
      <c r="H111" s="111"/>
    </row>
    <row r="112" spans="1:8" ht="12">
      <c r="A112" s="100">
        <v>31</v>
      </c>
      <c r="B112" s="101" t="s">
        <v>308</v>
      </c>
      <c r="C112" s="105">
        <v>926</v>
      </c>
      <c r="D112" s="105">
        <v>92605</v>
      </c>
      <c r="E112" s="106">
        <v>11000</v>
      </c>
      <c r="F112" s="102">
        <v>11000</v>
      </c>
      <c r="G112" s="157">
        <f aca="true" t="shared" si="0" ref="G112:G124">SUM(F112/E112)</f>
        <v>1</v>
      </c>
      <c r="H112" s="111"/>
    </row>
    <row r="113" spans="1:8" ht="12">
      <c r="A113" s="100">
        <v>32</v>
      </c>
      <c r="B113" s="101" t="s">
        <v>309</v>
      </c>
      <c r="C113" s="105">
        <v>926</v>
      </c>
      <c r="D113" s="105">
        <v>92605</v>
      </c>
      <c r="E113" s="106">
        <v>76000</v>
      </c>
      <c r="F113" s="102">
        <v>76000</v>
      </c>
      <c r="G113" s="157">
        <f t="shared" si="0"/>
        <v>1</v>
      </c>
      <c r="H113" s="111"/>
    </row>
    <row r="114" spans="1:8" ht="12">
      <c r="A114" s="100">
        <v>33</v>
      </c>
      <c r="B114" s="101" t="s">
        <v>310</v>
      </c>
      <c r="C114" s="105">
        <v>926</v>
      </c>
      <c r="D114" s="105">
        <v>92605</v>
      </c>
      <c r="E114" s="106">
        <v>11000</v>
      </c>
      <c r="F114" s="102">
        <v>11000</v>
      </c>
      <c r="G114" s="157">
        <f t="shared" si="0"/>
        <v>1</v>
      </c>
      <c r="H114" s="111"/>
    </row>
    <row r="115" spans="1:8" ht="12">
      <c r="A115" s="100">
        <v>34</v>
      </c>
      <c r="B115" s="101" t="s">
        <v>311</v>
      </c>
      <c r="C115" s="105">
        <v>926</v>
      </c>
      <c r="D115" s="105">
        <v>92605</v>
      </c>
      <c r="E115" s="106">
        <v>7000</v>
      </c>
      <c r="F115" s="102">
        <v>7000</v>
      </c>
      <c r="G115" s="157">
        <f t="shared" si="0"/>
        <v>1</v>
      </c>
      <c r="H115" s="111"/>
    </row>
    <row r="116" spans="1:8" ht="12">
      <c r="A116" s="100">
        <v>35</v>
      </c>
      <c r="B116" s="101" t="s">
        <v>312</v>
      </c>
      <c r="C116" s="105">
        <v>926</v>
      </c>
      <c r="D116" s="105">
        <v>92605</v>
      </c>
      <c r="E116" s="106">
        <v>10000</v>
      </c>
      <c r="F116" s="102">
        <v>7000</v>
      </c>
      <c r="G116" s="157">
        <f t="shared" si="0"/>
        <v>0.7</v>
      </c>
      <c r="H116" s="111"/>
    </row>
    <row r="117" spans="1:8" ht="12">
      <c r="A117" s="100">
        <v>36</v>
      </c>
      <c r="B117" s="101" t="s">
        <v>313</v>
      </c>
      <c r="C117" s="105">
        <v>926</v>
      </c>
      <c r="D117" s="105">
        <v>92605</v>
      </c>
      <c r="E117" s="106">
        <v>21000</v>
      </c>
      <c r="F117" s="102">
        <v>21000</v>
      </c>
      <c r="G117" s="157">
        <f t="shared" si="0"/>
        <v>1</v>
      </c>
      <c r="H117" s="111"/>
    </row>
    <row r="118" spans="1:7" ht="12">
      <c r="A118" s="100">
        <v>37</v>
      </c>
      <c r="B118" s="101" t="s">
        <v>314</v>
      </c>
      <c r="C118" s="105">
        <v>926</v>
      </c>
      <c r="D118" s="105">
        <v>92605</v>
      </c>
      <c r="E118" s="106">
        <v>18000</v>
      </c>
      <c r="F118" s="225">
        <v>18000</v>
      </c>
      <c r="G118" s="109">
        <f t="shared" si="0"/>
        <v>1</v>
      </c>
    </row>
    <row r="119" spans="1:7" ht="12">
      <c r="A119" s="100">
        <v>38</v>
      </c>
      <c r="B119" s="101" t="s">
        <v>315</v>
      </c>
      <c r="C119" s="105">
        <v>926</v>
      </c>
      <c r="D119" s="105">
        <v>92605</v>
      </c>
      <c r="E119" s="106">
        <v>6500</v>
      </c>
      <c r="F119" s="102">
        <v>6500</v>
      </c>
      <c r="G119" s="157">
        <f t="shared" si="0"/>
        <v>1</v>
      </c>
    </row>
    <row r="120" spans="1:7" ht="12">
      <c r="A120" s="100">
        <v>39</v>
      </c>
      <c r="B120" s="101" t="s">
        <v>316</v>
      </c>
      <c r="C120" s="105">
        <v>926</v>
      </c>
      <c r="D120" s="105">
        <v>92605</v>
      </c>
      <c r="E120" s="106">
        <v>13000</v>
      </c>
      <c r="F120" s="102">
        <v>13000</v>
      </c>
      <c r="G120" s="157">
        <f t="shared" si="0"/>
        <v>1</v>
      </c>
    </row>
    <row r="121" spans="1:7" ht="12">
      <c r="A121" s="100">
        <v>40</v>
      </c>
      <c r="B121" s="101" t="s">
        <v>317</v>
      </c>
      <c r="C121" s="105">
        <v>926</v>
      </c>
      <c r="D121" s="105">
        <v>92605</v>
      </c>
      <c r="E121" s="106">
        <v>23000</v>
      </c>
      <c r="F121" s="102">
        <v>23000</v>
      </c>
      <c r="G121" s="157">
        <f t="shared" si="0"/>
        <v>1</v>
      </c>
    </row>
    <row r="122" spans="1:7" ht="12">
      <c r="A122" s="100">
        <v>41</v>
      </c>
      <c r="B122" s="101" t="s">
        <v>300</v>
      </c>
      <c r="C122" s="161"/>
      <c r="D122" s="161"/>
      <c r="E122" s="193"/>
      <c r="F122" s="205"/>
      <c r="G122" s="109"/>
    </row>
    <row r="123" spans="1:7" ht="12">
      <c r="A123" s="100"/>
      <c r="B123" s="101" t="s">
        <v>301</v>
      </c>
      <c r="C123" s="105">
        <v>926</v>
      </c>
      <c r="D123" s="105">
        <v>92605</v>
      </c>
      <c r="E123" s="106">
        <v>7500</v>
      </c>
      <c r="F123" s="225">
        <v>7500</v>
      </c>
      <c r="G123" s="109">
        <f t="shared" si="0"/>
        <v>1</v>
      </c>
    </row>
    <row r="124" spans="1:7" ht="12">
      <c r="A124" s="100">
        <v>42</v>
      </c>
      <c r="B124" s="101" t="s">
        <v>318</v>
      </c>
      <c r="C124" s="105">
        <v>926</v>
      </c>
      <c r="D124" s="105">
        <v>92605</v>
      </c>
      <c r="E124" s="106">
        <v>2000</v>
      </c>
      <c r="F124" s="225">
        <v>2000</v>
      </c>
      <c r="G124" s="109">
        <f t="shared" si="0"/>
        <v>1</v>
      </c>
    </row>
    <row r="125" spans="1:7" ht="12">
      <c r="A125" s="100">
        <v>43</v>
      </c>
      <c r="B125" s="101" t="s">
        <v>325</v>
      </c>
      <c r="C125" s="105">
        <v>926</v>
      </c>
      <c r="D125" s="105">
        <v>92605</v>
      </c>
      <c r="E125" s="106">
        <f>2000+8000</f>
        <v>10000</v>
      </c>
      <c r="F125" s="102">
        <f>2000+6000</f>
        <v>8000</v>
      </c>
      <c r="G125" s="170">
        <f>F125/E125</f>
        <v>0.8</v>
      </c>
    </row>
    <row r="126" spans="1:7" ht="12.75" thickBot="1">
      <c r="A126" s="100">
        <v>44</v>
      </c>
      <c r="B126" s="101" t="s">
        <v>366</v>
      </c>
      <c r="C126" s="105">
        <v>926</v>
      </c>
      <c r="D126" s="105">
        <v>92605</v>
      </c>
      <c r="E126" s="106">
        <v>193000</v>
      </c>
      <c r="F126" s="263">
        <v>0</v>
      </c>
      <c r="G126" s="170">
        <f>F126/E126</f>
        <v>0</v>
      </c>
    </row>
    <row r="127" spans="1:7" ht="12">
      <c r="A127" s="176"/>
      <c r="B127" s="177"/>
      <c r="C127" s="222"/>
      <c r="D127" s="222"/>
      <c r="E127" s="223"/>
      <c r="F127" s="224"/>
      <c r="G127" s="178"/>
    </row>
    <row r="128" spans="1:8" s="96" customFormat="1" ht="13.5" thickBot="1">
      <c r="A128" s="179"/>
      <c r="B128" s="180" t="s">
        <v>135</v>
      </c>
      <c r="C128" s="181" t="s">
        <v>319</v>
      </c>
      <c r="D128" s="181" t="s">
        <v>319</v>
      </c>
      <c r="E128" s="182">
        <f>E104+E84+E61+E52+E38+E17+E6</f>
        <v>1655000</v>
      </c>
      <c r="F128" s="183">
        <f>F104+F84+F61+F52+F38+F17+F6</f>
        <v>1319747</v>
      </c>
      <c r="G128" s="184">
        <f>SUM(F128/E128)</f>
        <v>0.7974302114803625</v>
      </c>
      <c r="H128" s="139"/>
    </row>
    <row r="129" ht="12">
      <c r="H129" s="111"/>
    </row>
    <row r="130" spans="5:6" ht="12">
      <c r="E130" s="134"/>
      <c r="F130" s="134"/>
    </row>
    <row r="144" ht="12" customHeight="1">
      <c r="H144" s="134"/>
    </row>
    <row r="145" ht="12" customHeight="1">
      <c r="H145" s="134"/>
    </row>
    <row r="146" ht="12" customHeight="1">
      <c r="H146" s="134"/>
    </row>
    <row r="147" ht="12" customHeight="1">
      <c r="H147" s="158"/>
    </row>
    <row r="148" ht="12" customHeight="1">
      <c r="H148" s="134"/>
    </row>
    <row r="149" ht="12" customHeight="1">
      <c r="H149" s="134"/>
    </row>
    <row r="150" ht="12" customHeight="1">
      <c r="H150" s="134"/>
    </row>
    <row r="151" ht="12" customHeight="1">
      <c r="H151" s="134"/>
    </row>
  </sheetData>
  <sheetProtection/>
  <mergeCells count="4">
    <mergeCell ref="A1:G1"/>
    <mergeCell ref="A2:G2"/>
    <mergeCell ref="B16:B17"/>
    <mergeCell ref="B37:B38"/>
  </mergeCells>
  <printOptions/>
  <pageMargins left="0.75" right="0.75" top="0.65" bottom="0.62" header="0.37" footer="0.5"/>
  <pageSetup fitToHeight="2" fitToWidth="2" horizontalDpi="600" verticalDpi="600" orientation="portrait" paperSize="9" scale="89" r:id="rId1"/>
  <rowBreaks count="1" manualBreakCount="1">
    <brk id="5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39"/>
  <sheetViews>
    <sheetView showGridLines="0" view="pageBreakPreview" zoomScaleSheetLayoutView="100" zoomScalePageLayoutView="0" workbookViewId="0" topLeftCell="A1">
      <selection activeCell="A38" sqref="A38"/>
    </sheetView>
  </sheetViews>
  <sheetFormatPr defaultColWidth="9.00390625" defaultRowHeight="12"/>
  <cols>
    <col min="1" max="1" width="5.875" style="231" customWidth="1"/>
    <col min="2" max="2" width="48.125" style="231" customWidth="1"/>
    <col min="3" max="3" width="7.875" style="231" customWidth="1"/>
    <col min="4" max="4" width="8.25390625" style="231" customWidth="1"/>
    <col min="5" max="5" width="14.25390625" style="231" customWidth="1"/>
    <col min="6" max="6" width="16.125" style="231" customWidth="1"/>
    <col min="7" max="7" width="15.875" style="231" customWidth="1"/>
    <col min="8" max="8" width="11.375" style="231" customWidth="1"/>
    <col min="9" max="10" width="12.375" style="231" customWidth="1"/>
    <col min="11" max="11" width="10.25390625" style="231" customWidth="1"/>
    <col min="12" max="16384" width="9.125" style="231" customWidth="1"/>
  </cols>
  <sheetData>
    <row r="1" spans="1:10" s="185" customFormat="1" ht="18">
      <c r="A1" s="1463" t="s">
        <v>326</v>
      </c>
      <c r="B1" s="1463"/>
      <c r="C1" s="1463"/>
      <c r="D1" s="1463"/>
      <c r="E1" s="1463"/>
      <c r="F1" s="1463"/>
      <c r="G1" s="1463"/>
      <c r="H1" s="1463"/>
      <c r="J1" s="854"/>
    </row>
    <row r="2" spans="1:11" ht="18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0" ht="15" thickBot="1">
      <c r="A3" s="232"/>
      <c r="B3" s="232"/>
      <c r="C3" s="232"/>
      <c r="D3" s="232"/>
      <c r="E3" s="232"/>
      <c r="H3" s="233"/>
      <c r="I3" s="233"/>
      <c r="J3" s="233" t="s">
        <v>0</v>
      </c>
    </row>
    <row r="4" spans="1:11" ht="12">
      <c r="A4" s="1469" t="s">
        <v>264</v>
      </c>
      <c r="B4" s="1472" t="s">
        <v>27</v>
      </c>
      <c r="C4" s="1472" t="s">
        <v>1</v>
      </c>
      <c r="D4" s="1472" t="s">
        <v>25</v>
      </c>
      <c r="E4" s="1460" t="s">
        <v>3</v>
      </c>
      <c r="F4" s="1460" t="s">
        <v>199</v>
      </c>
      <c r="G4" s="1458" t="s">
        <v>4</v>
      </c>
      <c r="H4" s="1459"/>
      <c r="I4" s="1459"/>
      <c r="J4" s="1459"/>
      <c r="K4" s="1466" t="s">
        <v>388</v>
      </c>
    </row>
    <row r="5" spans="1:11" ht="12">
      <c r="A5" s="1470"/>
      <c r="B5" s="1473"/>
      <c r="C5" s="1473"/>
      <c r="D5" s="1473"/>
      <c r="E5" s="1461"/>
      <c r="F5" s="1461"/>
      <c r="G5" s="1464" t="s">
        <v>383</v>
      </c>
      <c r="H5" s="1464" t="s">
        <v>384</v>
      </c>
      <c r="I5" s="761" t="s">
        <v>4</v>
      </c>
      <c r="J5" s="771"/>
      <c r="K5" s="1467"/>
    </row>
    <row r="6" spans="1:11" ht="33" customHeight="1">
      <c r="A6" s="1471"/>
      <c r="B6" s="1474"/>
      <c r="C6" s="1474"/>
      <c r="D6" s="1474"/>
      <c r="E6" s="1462"/>
      <c r="F6" s="1462"/>
      <c r="G6" s="1465"/>
      <c r="H6" s="1465"/>
      <c r="I6" s="783" t="s">
        <v>385</v>
      </c>
      <c r="J6" s="781" t="s">
        <v>386</v>
      </c>
      <c r="K6" s="1468"/>
    </row>
    <row r="7" spans="1:11" ht="12">
      <c r="A7" s="758">
        <v>1</v>
      </c>
      <c r="B7" s="759">
        <v>2</v>
      </c>
      <c r="C7" s="759">
        <v>3</v>
      </c>
      <c r="D7" s="759">
        <v>4</v>
      </c>
      <c r="E7" s="759">
        <v>5</v>
      </c>
      <c r="F7" s="760">
        <v>6</v>
      </c>
      <c r="G7" s="762">
        <v>7</v>
      </c>
      <c r="H7" s="760">
        <v>8</v>
      </c>
      <c r="I7" s="760">
        <v>9</v>
      </c>
      <c r="J7" s="762">
        <v>10</v>
      </c>
      <c r="K7" s="789">
        <v>11</v>
      </c>
    </row>
    <row r="8" spans="1:11" ht="12">
      <c r="A8" s="234"/>
      <c r="B8" s="101" t="s">
        <v>194</v>
      </c>
      <c r="C8" s="105"/>
      <c r="D8" s="105"/>
      <c r="E8" s="105"/>
      <c r="F8" s="235"/>
      <c r="G8" s="770"/>
      <c r="H8" s="769"/>
      <c r="I8" s="770"/>
      <c r="J8" s="769"/>
      <c r="K8" s="772"/>
    </row>
    <row r="9" spans="1:11" ht="12">
      <c r="A9" s="236"/>
      <c r="B9" s="237" t="s">
        <v>387</v>
      </c>
      <c r="C9" s="227"/>
      <c r="D9" s="227"/>
      <c r="E9" s="238">
        <f aca="true" t="shared" si="0" ref="E9:J9">E12+E15</f>
        <v>3176300</v>
      </c>
      <c r="F9" s="239">
        <f t="shared" si="0"/>
        <v>2458000</v>
      </c>
      <c r="G9" s="239">
        <f t="shared" si="0"/>
        <v>2458000</v>
      </c>
      <c r="H9" s="239">
        <f t="shared" si="0"/>
        <v>0</v>
      </c>
      <c r="I9" s="239">
        <f t="shared" si="0"/>
        <v>0</v>
      </c>
      <c r="J9" s="239">
        <f t="shared" si="0"/>
        <v>0</v>
      </c>
      <c r="K9" s="790">
        <f>F9/E9</f>
        <v>0.7738563737682209</v>
      </c>
    </row>
    <row r="10" spans="1:11" ht="12">
      <c r="A10" s="234"/>
      <c r="B10" s="240" t="s">
        <v>4</v>
      </c>
      <c r="C10" s="105"/>
      <c r="D10" s="105"/>
      <c r="E10" s="241"/>
      <c r="F10" s="102"/>
      <c r="G10" s="102"/>
      <c r="H10" s="773"/>
      <c r="I10" s="774"/>
      <c r="J10" s="773"/>
      <c r="K10" s="72"/>
    </row>
    <row r="11" spans="1:11" ht="12">
      <c r="A11" s="100"/>
      <c r="B11" s="101"/>
      <c r="C11" s="105"/>
      <c r="D11" s="105"/>
      <c r="E11" s="241"/>
      <c r="F11" s="102"/>
      <c r="G11" s="102"/>
      <c r="H11" s="773"/>
      <c r="I11" s="774"/>
      <c r="J11" s="773"/>
      <c r="K11" s="72"/>
    </row>
    <row r="12" spans="1:11" s="245" customFormat="1" ht="12">
      <c r="A12" s="242">
        <v>1</v>
      </c>
      <c r="B12" s="243" t="s">
        <v>351</v>
      </c>
      <c r="C12" s="244">
        <v>921</v>
      </c>
      <c r="D12" s="244">
        <v>92109</v>
      </c>
      <c r="E12" s="247">
        <v>1970000</v>
      </c>
      <c r="F12" s="299">
        <f>G12+H12</f>
        <v>1540000</v>
      </c>
      <c r="G12" s="782">
        <v>1540000</v>
      </c>
      <c r="H12" s="776">
        <f>I12+J12</f>
        <v>0</v>
      </c>
      <c r="I12" s="834"/>
      <c r="J12" s="833"/>
      <c r="K12" s="791">
        <f>F12/E12</f>
        <v>0.7817258883248731</v>
      </c>
    </row>
    <row r="13" spans="1:11" ht="12">
      <c r="A13" s="100"/>
      <c r="B13" s="243"/>
      <c r="C13" s="101"/>
      <c r="D13" s="101"/>
      <c r="E13" s="835"/>
      <c r="F13" s="836"/>
      <c r="G13" s="836"/>
      <c r="H13" s="837"/>
      <c r="I13" s="838"/>
      <c r="J13" s="837"/>
      <c r="K13" s="792"/>
    </row>
    <row r="14" spans="1:11" ht="12">
      <c r="A14" s="100"/>
      <c r="B14" s="243"/>
      <c r="C14" s="101"/>
      <c r="D14" s="101"/>
      <c r="E14" s="832"/>
      <c r="F14" s="839"/>
      <c r="G14" s="839"/>
      <c r="H14" s="833"/>
      <c r="I14" s="834"/>
      <c r="J14" s="833"/>
      <c r="K14" s="72"/>
    </row>
    <row r="15" spans="1:11" ht="12">
      <c r="A15" s="100">
        <v>2</v>
      </c>
      <c r="B15" s="246" t="s">
        <v>352</v>
      </c>
      <c r="C15" s="250">
        <v>921</v>
      </c>
      <c r="D15" s="250">
        <v>92116</v>
      </c>
      <c r="E15" s="252">
        <f>1181300+25000</f>
        <v>1206300</v>
      </c>
      <c r="F15" s="253">
        <f>G15+H15</f>
        <v>918000</v>
      </c>
      <c r="G15" s="253">
        <v>918000</v>
      </c>
      <c r="H15" s="776">
        <f>I15+J15</f>
        <v>0</v>
      </c>
      <c r="I15" s="775"/>
      <c r="J15" s="776">
        <v>0</v>
      </c>
      <c r="K15" s="793">
        <f>F15/E15</f>
        <v>0.7610047251927381</v>
      </c>
    </row>
    <row r="16" spans="1:11" s="251" customFormat="1" ht="12.75" thickBot="1">
      <c r="A16" s="249"/>
      <c r="B16" s="257"/>
      <c r="C16" s="254"/>
      <c r="D16" s="254"/>
      <c r="E16" s="255"/>
      <c r="F16" s="256"/>
      <c r="G16" s="256"/>
      <c r="H16" s="779"/>
      <c r="I16" s="780"/>
      <c r="J16" s="779"/>
      <c r="K16" s="794"/>
    </row>
    <row r="17" spans="1:11" s="251" customFormat="1" ht="12">
      <c r="A17" s="301"/>
      <c r="B17" s="302"/>
      <c r="C17" s="303"/>
      <c r="D17" s="303"/>
      <c r="E17" s="304"/>
      <c r="F17" s="305"/>
      <c r="G17" s="305"/>
      <c r="H17" s="786"/>
      <c r="I17" s="787"/>
      <c r="J17" s="786"/>
      <c r="K17" s="795"/>
    </row>
    <row r="18" spans="1:11" s="251" customFormat="1" ht="12.75" thickBot="1">
      <c r="A18" s="306"/>
      <c r="B18" s="307" t="s">
        <v>389</v>
      </c>
      <c r="C18" s="308"/>
      <c r="D18" s="308"/>
      <c r="E18" s="309">
        <f aca="true" t="shared" si="1" ref="E18:J18">E23+E27+E31+E33</f>
        <v>96500</v>
      </c>
      <c r="F18" s="310">
        <f t="shared" si="1"/>
        <v>75573.1</v>
      </c>
      <c r="G18" s="310">
        <f t="shared" si="1"/>
        <v>0</v>
      </c>
      <c r="H18" s="310">
        <f t="shared" si="1"/>
        <v>75573.1</v>
      </c>
      <c r="I18" s="310">
        <f t="shared" si="1"/>
        <v>75573.1</v>
      </c>
      <c r="J18" s="310">
        <f t="shared" si="1"/>
        <v>0</v>
      </c>
      <c r="K18" s="796">
        <f>F18/E18</f>
        <v>0.7831409326424871</v>
      </c>
    </row>
    <row r="19" spans="1:11" s="251" customFormat="1" ht="12">
      <c r="A19" s="249"/>
      <c r="B19" s="300" t="s">
        <v>4</v>
      </c>
      <c r="C19" s="254"/>
      <c r="D19" s="254"/>
      <c r="E19" s="255"/>
      <c r="F19" s="256"/>
      <c r="G19" s="256"/>
      <c r="H19" s="763"/>
      <c r="I19" s="766"/>
      <c r="J19" s="763"/>
      <c r="K19" s="794"/>
    </row>
    <row r="20" spans="1:11" s="251" customFormat="1" ht="12">
      <c r="A20" s="249"/>
      <c r="B20" s="240"/>
      <c r="C20" s="254"/>
      <c r="D20" s="254"/>
      <c r="E20" s="255"/>
      <c r="F20" s="256"/>
      <c r="G20" s="256"/>
      <c r="H20" s="763"/>
      <c r="I20" s="766"/>
      <c r="J20" s="763"/>
      <c r="K20" s="794"/>
    </row>
    <row r="21" spans="1:11" s="251" customFormat="1" ht="12">
      <c r="A21" s="249">
        <v>3</v>
      </c>
      <c r="B21" s="257" t="s">
        <v>327</v>
      </c>
      <c r="C21" s="254"/>
      <c r="D21" s="254"/>
      <c r="E21" s="255"/>
      <c r="F21" s="256"/>
      <c r="G21" s="256"/>
      <c r="H21" s="763"/>
      <c r="I21" s="766"/>
      <c r="J21" s="763"/>
      <c r="K21" s="794"/>
    </row>
    <row r="22" spans="1:11" s="251" customFormat="1" ht="12">
      <c r="A22" s="249"/>
      <c r="B22" s="257" t="s">
        <v>328</v>
      </c>
      <c r="C22" s="254"/>
      <c r="D22" s="254"/>
      <c r="E22" s="255"/>
      <c r="F22" s="256"/>
      <c r="G22" s="256"/>
      <c r="H22" s="763"/>
      <c r="I22" s="766"/>
      <c r="J22" s="763"/>
      <c r="K22" s="794"/>
    </row>
    <row r="23" spans="1:11" s="251" customFormat="1" ht="12">
      <c r="A23" s="249"/>
      <c r="B23" s="257" t="s">
        <v>329</v>
      </c>
      <c r="C23" s="254">
        <v>801</v>
      </c>
      <c r="D23" s="254">
        <v>80104</v>
      </c>
      <c r="E23" s="252">
        <v>22000</v>
      </c>
      <c r="F23" s="853">
        <f>G23+H23</f>
        <v>14948.1</v>
      </c>
      <c r="G23" s="853"/>
      <c r="H23" s="776">
        <v>14948.1</v>
      </c>
      <c r="I23" s="775">
        <v>14948.1</v>
      </c>
      <c r="J23" s="833"/>
      <c r="K23" s="794">
        <f>F23/E23</f>
        <v>0.679459090909091</v>
      </c>
    </row>
    <row r="24" spans="1:11" s="251" customFormat="1" ht="12">
      <c r="A24" s="249"/>
      <c r="B24" s="257"/>
      <c r="C24" s="254"/>
      <c r="D24" s="254"/>
      <c r="E24" s="252"/>
      <c r="F24" s="853"/>
      <c r="G24" s="853"/>
      <c r="H24" s="784"/>
      <c r="I24" s="785"/>
      <c r="J24" s="840"/>
      <c r="K24" s="794"/>
    </row>
    <row r="25" spans="1:11" ht="12">
      <c r="A25" s="100">
        <v>4</v>
      </c>
      <c r="B25" s="257" t="s">
        <v>327</v>
      </c>
      <c r="C25" s="105"/>
      <c r="D25" s="105"/>
      <c r="E25" s="832"/>
      <c r="F25" s="839"/>
      <c r="G25" s="839"/>
      <c r="H25" s="833"/>
      <c r="I25" s="834"/>
      <c r="J25" s="833"/>
      <c r="K25" s="72"/>
    </row>
    <row r="26" spans="1:11" ht="12">
      <c r="A26" s="100"/>
      <c r="B26" s="257" t="s">
        <v>328</v>
      </c>
      <c r="C26" s="105"/>
      <c r="D26" s="105"/>
      <c r="E26" s="832"/>
      <c r="F26" s="839"/>
      <c r="G26" s="839"/>
      <c r="H26" s="833"/>
      <c r="I26" s="834"/>
      <c r="J26" s="833"/>
      <c r="K26" s="72"/>
    </row>
    <row r="27" spans="1:11" ht="12">
      <c r="A27" s="100"/>
      <c r="B27" s="101" t="s">
        <v>330</v>
      </c>
      <c r="C27" s="105">
        <v>801</v>
      </c>
      <c r="D27" s="105">
        <v>80105</v>
      </c>
      <c r="E27" s="247">
        <v>35000</v>
      </c>
      <c r="F27" s="853">
        <f>G27+H27</f>
        <v>21125</v>
      </c>
      <c r="G27" s="248"/>
      <c r="H27" s="776">
        <v>21125</v>
      </c>
      <c r="I27" s="775">
        <v>21125</v>
      </c>
      <c r="J27" s="833"/>
      <c r="K27" s="274">
        <f>F27/E27</f>
        <v>0.6035714285714285</v>
      </c>
    </row>
    <row r="28" spans="1:11" ht="12">
      <c r="A28" s="100"/>
      <c r="B28" s="101"/>
      <c r="C28" s="105"/>
      <c r="D28" s="105"/>
      <c r="E28" s="832"/>
      <c r="F28" s="839"/>
      <c r="G28" s="839"/>
      <c r="H28" s="833"/>
      <c r="I28" s="834"/>
      <c r="J28" s="833"/>
      <c r="K28" s="274"/>
    </row>
    <row r="29" spans="1:11" ht="12">
      <c r="A29" s="100">
        <v>5</v>
      </c>
      <c r="B29" s="258" t="s">
        <v>331</v>
      </c>
      <c r="C29" s="105"/>
      <c r="D29" s="105"/>
      <c r="E29" s="835"/>
      <c r="F29" s="841"/>
      <c r="G29" s="841"/>
      <c r="H29" s="833"/>
      <c r="I29" s="834"/>
      <c r="J29" s="833"/>
      <c r="K29" s="797"/>
    </row>
    <row r="30" spans="1:11" ht="12" customHeight="1">
      <c r="A30" s="100"/>
      <c r="B30" s="259" t="s">
        <v>332</v>
      </c>
      <c r="C30" s="105"/>
      <c r="D30" s="105"/>
      <c r="E30" s="832"/>
      <c r="F30" s="839"/>
      <c r="G30" s="839"/>
      <c r="H30" s="833"/>
      <c r="I30" s="834"/>
      <c r="J30" s="833"/>
      <c r="K30" s="274"/>
    </row>
    <row r="31" spans="1:11" ht="12">
      <c r="A31" s="100"/>
      <c r="B31" s="260" t="s">
        <v>333</v>
      </c>
      <c r="C31" s="105">
        <v>851</v>
      </c>
      <c r="D31" s="105">
        <v>85154</v>
      </c>
      <c r="E31" s="247">
        <v>30000</v>
      </c>
      <c r="F31" s="853">
        <f>G31+H31</f>
        <v>30000</v>
      </c>
      <c r="G31" s="248"/>
      <c r="H31" s="776">
        <v>30000</v>
      </c>
      <c r="I31" s="775">
        <v>30000</v>
      </c>
      <c r="J31" s="833"/>
      <c r="K31" s="274">
        <f>F31/E31</f>
        <v>1</v>
      </c>
    </row>
    <row r="32" spans="1:11" ht="12">
      <c r="A32" s="100"/>
      <c r="B32" s="101"/>
      <c r="C32" s="105"/>
      <c r="D32" s="105"/>
      <c r="E32" s="247"/>
      <c r="F32" s="248"/>
      <c r="G32" s="248"/>
      <c r="H32" s="776"/>
      <c r="I32" s="775"/>
      <c r="J32" s="833"/>
      <c r="K32" s="274"/>
    </row>
    <row r="33" spans="1:11" ht="12">
      <c r="A33" s="100">
        <v>6</v>
      </c>
      <c r="B33" s="246" t="s">
        <v>348</v>
      </c>
      <c r="C33" s="105">
        <v>754</v>
      </c>
      <c r="D33" s="105">
        <v>75411</v>
      </c>
      <c r="E33" s="247">
        <v>9500</v>
      </c>
      <c r="F33" s="853">
        <f>G33+H33</f>
        <v>9500</v>
      </c>
      <c r="G33" s="248"/>
      <c r="H33" s="776">
        <v>9500</v>
      </c>
      <c r="I33" s="775">
        <v>9500</v>
      </c>
      <c r="J33" s="833"/>
      <c r="K33" s="274">
        <f>F33/E33</f>
        <v>1</v>
      </c>
    </row>
    <row r="34" spans="1:11" s="251" customFormat="1" ht="12">
      <c r="A34" s="249"/>
      <c r="B34" s="101" t="s">
        <v>349</v>
      </c>
      <c r="C34" s="254"/>
      <c r="D34" s="254"/>
      <c r="E34" s="255"/>
      <c r="F34" s="256"/>
      <c r="G34" s="256"/>
      <c r="H34" s="777"/>
      <c r="I34" s="778"/>
      <c r="J34" s="777"/>
      <c r="K34" s="794"/>
    </row>
    <row r="35" spans="1:11" ht="12">
      <c r="A35" s="100"/>
      <c r="B35" s="101" t="s">
        <v>350</v>
      </c>
      <c r="C35" s="105"/>
      <c r="D35" s="105"/>
      <c r="E35" s="241"/>
      <c r="F35" s="102"/>
      <c r="G35" s="102"/>
      <c r="H35" s="773"/>
      <c r="I35" s="774"/>
      <c r="J35" s="773"/>
      <c r="K35" s="72"/>
    </row>
    <row r="36" spans="1:11" ht="12.75" thickBot="1">
      <c r="A36" s="151"/>
      <c r="B36" s="152" t="s">
        <v>353</v>
      </c>
      <c r="C36" s="261"/>
      <c r="D36" s="261"/>
      <c r="E36" s="262"/>
      <c r="F36" s="263"/>
      <c r="G36" s="263"/>
      <c r="H36" s="764"/>
      <c r="I36" s="767"/>
      <c r="J36" s="764"/>
      <c r="K36" s="798"/>
    </row>
    <row r="37" spans="1:11" ht="12">
      <c r="A37" s="264"/>
      <c r="B37" s="108"/>
      <c r="C37" s="108"/>
      <c r="D37" s="108"/>
      <c r="E37" s="265"/>
      <c r="F37" s="266"/>
      <c r="G37" s="266"/>
      <c r="H37" s="765"/>
      <c r="I37" s="768"/>
      <c r="J37" s="765"/>
      <c r="K37" s="799"/>
    </row>
    <row r="38" spans="1:11" ht="15.75" thickBot="1">
      <c r="A38" s="267"/>
      <c r="B38" s="268" t="s">
        <v>135</v>
      </c>
      <c r="C38" s="269" t="s">
        <v>319</v>
      </c>
      <c r="D38" s="269" t="s">
        <v>319</v>
      </c>
      <c r="E38" s="270">
        <f aca="true" t="shared" si="2" ref="E38:J38">E18+E9</f>
        <v>3272800</v>
      </c>
      <c r="F38" s="270">
        <f t="shared" si="2"/>
        <v>2533573.1</v>
      </c>
      <c r="G38" s="270">
        <f t="shared" si="2"/>
        <v>2458000</v>
      </c>
      <c r="H38" s="270">
        <f t="shared" si="2"/>
        <v>75573.1</v>
      </c>
      <c r="I38" s="270">
        <f t="shared" si="2"/>
        <v>75573.1</v>
      </c>
      <c r="J38" s="270">
        <f t="shared" si="2"/>
        <v>0</v>
      </c>
      <c r="K38" s="800">
        <f>F38/E38</f>
        <v>0.7741301332192618</v>
      </c>
    </row>
    <row r="39" ht="12">
      <c r="E39" s="788"/>
    </row>
  </sheetData>
  <sheetProtection/>
  <mergeCells count="11">
    <mergeCell ref="K4:K6"/>
    <mergeCell ref="A4:A6"/>
    <mergeCell ref="B4:B6"/>
    <mergeCell ref="C4:C6"/>
    <mergeCell ref="D4:D6"/>
    <mergeCell ref="G4:J4"/>
    <mergeCell ref="E4:E6"/>
    <mergeCell ref="F4:F6"/>
    <mergeCell ref="A1:H1"/>
    <mergeCell ref="G5:G6"/>
    <mergeCell ref="H5:H6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31"/>
  <sheetViews>
    <sheetView showGridLines="0" view="pageBreakPreview" zoomScaleSheetLayoutView="100" zoomScalePageLayoutView="0" workbookViewId="0" topLeftCell="C1">
      <selection activeCell="A38" sqref="A38"/>
    </sheetView>
  </sheetViews>
  <sheetFormatPr defaultColWidth="9.00390625" defaultRowHeight="12"/>
  <cols>
    <col min="1" max="1" width="5.875" style="0" customWidth="1"/>
    <col min="2" max="2" width="30.875" style="0" customWidth="1"/>
    <col min="3" max="3" width="38.375" style="0" customWidth="1"/>
    <col min="4" max="4" width="5.625" style="0" customWidth="1"/>
    <col min="5" max="5" width="7.75390625" style="0" bestFit="1" customWidth="1"/>
    <col min="6" max="6" width="11.25390625" style="0" customWidth="1"/>
    <col min="7" max="7" width="10.00390625" style="0" bestFit="1" customWidth="1"/>
    <col min="8" max="8" width="9.75390625" style="0" bestFit="1" customWidth="1"/>
    <col min="9" max="9" width="11.625" style="0" bestFit="1" customWidth="1"/>
    <col min="10" max="10" width="11.00390625" style="0" customWidth="1"/>
  </cols>
  <sheetData>
    <row r="1" spans="1:12" s="185" customFormat="1" ht="18">
      <c r="A1" s="1463" t="s">
        <v>672</v>
      </c>
      <c r="B1" s="1463"/>
      <c r="C1" s="1463"/>
      <c r="D1" s="1463"/>
      <c r="E1" s="1463"/>
      <c r="F1" s="1463"/>
      <c r="G1" s="1463"/>
      <c r="H1" s="1463"/>
      <c r="I1" s="1463"/>
      <c r="J1" s="1463"/>
      <c r="L1" s="854"/>
    </row>
    <row r="2" spans="1:11" ht="18">
      <c r="A2" s="293"/>
      <c r="B2" s="292"/>
      <c r="C2" s="292"/>
      <c r="D2" s="291"/>
      <c r="E2" s="291"/>
      <c r="F2" s="291"/>
      <c r="G2" s="291"/>
      <c r="H2" s="291"/>
      <c r="I2" s="291"/>
      <c r="J2" s="291"/>
      <c r="K2" s="291"/>
    </row>
    <row r="4" ht="12.75" thickBot="1"/>
    <row r="5" spans="1:10" s="12" customFormat="1" ht="12">
      <c r="A5" s="1479" t="s">
        <v>264</v>
      </c>
      <c r="B5" s="1477" t="s">
        <v>335</v>
      </c>
      <c r="C5" s="1477" t="s">
        <v>334</v>
      </c>
      <c r="D5" s="1477" t="s">
        <v>1</v>
      </c>
      <c r="E5" s="1477" t="s">
        <v>25</v>
      </c>
      <c r="F5" s="1477" t="s">
        <v>3</v>
      </c>
      <c r="G5" s="1477" t="s">
        <v>199</v>
      </c>
      <c r="H5" s="1481" t="s">
        <v>185</v>
      </c>
      <c r="I5" s="1482"/>
      <c r="J5" s="1475" t="s">
        <v>390</v>
      </c>
    </row>
    <row r="6" spans="1:10" s="12" customFormat="1" ht="37.5" customHeight="1">
      <c r="A6" s="1480"/>
      <c r="B6" s="1478"/>
      <c r="C6" s="1478"/>
      <c r="D6" s="1478"/>
      <c r="E6" s="1478"/>
      <c r="F6" s="1478"/>
      <c r="G6" s="1478"/>
      <c r="H6" s="755" t="s">
        <v>385</v>
      </c>
      <c r="I6" s="755" t="s">
        <v>386</v>
      </c>
      <c r="J6" s="1476"/>
    </row>
    <row r="7" spans="1:10" s="12" customFormat="1" ht="12">
      <c r="A7" s="801">
        <v>1</v>
      </c>
      <c r="B7" s="802">
        <v>2</v>
      </c>
      <c r="C7" s="802">
        <v>3</v>
      </c>
      <c r="D7" s="802">
        <v>4</v>
      </c>
      <c r="E7" s="802">
        <v>5</v>
      </c>
      <c r="F7" s="802">
        <v>6</v>
      </c>
      <c r="G7" s="802">
        <v>7</v>
      </c>
      <c r="H7" s="802">
        <v>8</v>
      </c>
      <c r="I7" s="803">
        <v>9</v>
      </c>
      <c r="J7" s="804">
        <v>10</v>
      </c>
    </row>
    <row r="8" spans="1:10" s="12" customFormat="1" ht="12">
      <c r="A8" s="24"/>
      <c r="B8" s="15" t="s">
        <v>194</v>
      </c>
      <c r="C8" s="15"/>
      <c r="D8" s="14"/>
      <c r="E8" s="14"/>
      <c r="F8" s="14"/>
      <c r="G8" s="14"/>
      <c r="H8" s="14"/>
      <c r="I8" s="23"/>
      <c r="J8" s="271"/>
    </row>
    <row r="9" spans="1:10" s="12" customFormat="1" ht="12">
      <c r="A9" s="272">
        <v>1</v>
      </c>
      <c r="B9" s="273" t="s">
        <v>392</v>
      </c>
      <c r="C9" s="273" t="s">
        <v>336</v>
      </c>
      <c r="D9" s="14">
        <v>600</v>
      </c>
      <c r="E9" s="14">
        <v>60004</v>
      </c>
      <c r="F9" s="855">
        <v>300000</v>
      </c>
      <c r="G9" s="66">
        <f>H9+I9</f>
        <v>0</v>
      </c>
      <c r="H9" s="66"/>
      <c r="I9" s="294">
        <f>SUM(I10)</f>
        <v>0</v>
      </c>
      <c r="J9" s="856">
        <f>G9/F9</f>
        <v>0</v>
      </c>
    </row>
    <row r="10" spans="1:10" s="12" customFormat="1" ht="12">
      <c r="A10" s="272"/>
      <c r="B10" s="15"/>
      <c r="C10" s="15" t="s">
        <v>337</v>
      </c>
      <c r="D10" s="15"/>
      <c r="E10" s="15"/>
      <c r="F10" s="855"/>
      <c r="G10" s="295"/>
      <c r="H10" s="295"/>
      <c r="I10" s="296"/>
      <c r="J10" s="297"/>
    </row>
    <row r="11" spans="1:10" s="12" customFormat="1" ht="12">
      <c r="A11" s="272"/>
      <c r="B11" s="15"/>
      <c r="C11" s="15"/>
      <c r="D11" s="15"/>
      <c r="E11" s="15"/>
      <c r="F11" s="855"/>
      <c r="G11" s="295"/>
      <c r="H11" s="295"/>
      <c r="I11" s="296"/>
      <c r="J11" s="297"/>
    </row>
    <row r="12" spans="1:10" s="12" customFormat="1" ht="12">
      <c r="A12" s="272">
        <v>2</v>
      </c>
      <c r="B12" s="273" t="s">
        <v>338</v>
      </c>
      <c r="C12" s="273" t="s">
        <v>339</v>
      </c>
      <c r="D12" s="14">
        <v>600</v>
      </c>
      <c r="E12" s="14">
        <v>60013</v>
      </c>
      <c r="F12" s="855">
        <v>500000</v>
      </c>
      <c r="G12" s="66">
        <f>H12+I12</f>
        <v>0</v>
      </c>
      <c r="H12" s="66"/>
      <c r="I12" s="294">
        <f>SUM(I13)</f>
        <v>0</v>
      </c>
      <c r="J12" s="856">
        <f>G12/F12</f>
        <v>0</v>
      </c>
    </row>
    <row r="13" spans="1:10" s="12" customFormat="1" ht="12">
      <c r="A13" s="272"/>
      <c r="B13" s="15"/>
      <c r="C13" s="15"/>
      <c r="D13" s="15"/>
      <c r="E13" s="15"/>
      <c r="F13" s="855"/>
      <c r="G13" s="295"/>
      <c r="H13" s="295"/>
      <c r="I13" s="296"/>
      <c r="J13" s="297"/>
    </row>
    <row r="14" spans="1:10" s="12" customFormat="1" ht="12">
      <c r="A14" s="272"/>
      <c r="B14" s="15"/>
      <c r="C14" s="15"/>
      <c r="D14" s="15"/>
      <c r="E14" s="15"/>
      <c r="F14" s="855"/>
      <c r="G14" s="295"/>
      <c r="H14" s="295"/>
      <c r="I14" s="296"/>
      <c r="J14" s="297"/>
    </row>
    <row r="15" spans="1:10" s="12" customFormat="1" ht="12">
      <c r="A15" s="272">
        <v>3</v>
      </c>
      <c r="B15" s="273" t="s">
        <v>338</v>
      </c>
      <c r="C15" s="15" t="s">
        <v>455</v>
      </c>
      <c r="D15" s="15">
        <v>600</v>
      </c>
      <c r="E15" s="14">
        <v>60013</v>
      </c>
      <c r="F15" s="855">
        <v>90000</v>
      </c>
      <c r="G15" s="295">
        <f>H15+I15</f>
        <v>0</v>
      </c>
      <c r="H15" s="295"/>
      <c r="I15" s="296">
        <v>0</v>
      </c>
      <c r="J15" s="856">
        <f>G15/F15</f>
        <v>0</v>
      </c>
    </row>
    <row r="16" spans="1:10" s="22" customFormat="1" ht="12">
      <c r="A16" s="842"/>
      <c r="B16" s="843"/>
      <c r="C16" s="843"/>
      <c r="D16" s="843"/>
      <c r="E16" s="843"/>
      <c r="F16" s="857"/>
      <c r="G16" s="844"/>
      <c r="H16" s="844"/>
      <c r="I16" s="845"/>
      <c r="J16" s="846"/>
    </row>
    <row r="17" spans="1:10" s="22" customFormat="1" ht="12">
      <c r="A17" s="842"/>
      <c r="B17" s="843"/>
      <c r="C17" s="843"/>
      <c r="D17" s="843"/>
      <c r="E17" s="843"/>
      <c r="F17" s="857"/>
      <c r="G17" s="844"/>
      <c r="H17" s="844"/>
      <c r="I17" s="845"/>
      <c r="J17" s="846"/>
    </row>
    <row r="18" spans="1:10" s="44" customFormat="1" ht="12">
      <c r="A18" s="272">
        <v>4</v>
      </c>
      <c r="B18" s="275" t="s">
        <v>340</v>
      </c>
      <c r="C18" s="275" t="s">
        <v>341</v>
      </c>
      <c r="D18" s="276">
        <v>600</v>
      </c>
      <c r="E18" s="276">
        <v>60014</v>
      </c>
      <c r="F18" s="859">
        <v>200000</v>
      </c>
      <c r="G18" s="66">
        <f>H18+I18</f>
        <v>0</v>
      </c>
      <c r="H18" s="277"/>
      <c r="I18" s="298">
        <f>SUM(I19)</f>
        <v>0</v>
      </c>
      <c r="J18" s="856">
        <f>G18/F18</f>
        <v>0</v>
      </c>
    </row>
    <row r="19" spans="1:10" s="44" customFormat="1" ht="12" customHeight="1">
      <c r="A19" s="272"/>
      <c r="B19" s="275"/>
      <c r="C19" s="275" t="s">
        <v>342</v>
      </c>
      <c r="D19" s="276"/>
      <c r="E19" s="276"/>
      <c r="F19" s="859"/>
      <c r="G19" s="277"/>
      <c r="H19" s="277"/>
      <c r="I19" s="278"/>
      <c r="J19" s="279"/>
    </row>
    <row r="20" spans="1:10" s="850" customFormat="1" ht="12" customHeight="1">
      <c r="A20" s="842"/>
      <c r="B20" s="847"/>
      <c r="C20" s="847"/>
      <c r="D20" s="848"/>
      <c r="E20" s="848"/>
      <c r="F20" s="858"/>
      <c r="G20" s="849"/>
      <c r="H20" s="849"/>
      <c r="I20" s="851"/>
      <c r="J20" s="852"/>
    </row>
    <row r="21" spans="1:10" s="44" customFormat="1" ht="12">
      <c r="A21" s="13">
        <v>5</v>
      </c>
      <c r="B21" s="275" t="s">
        <v>343</v>
      </c>
      <c r="C21" s="275" t="s">
        <v>344</v>
      </c>
      <c r="D21" s="276">
        <v>700</v>
      </c>
      <c r="E21" s="276">
        <v>70095</v>
      </c>
      <c r="F21" s="859">
        <v>10000</v>
      </c>
      <c r="G21" s="66">
        <f>H21+I21</f>
        <v>10000</v>
      </c>
      <c r="H21" s="277"/>
      <c r="I21" s="298">
        <v>10000</v>
      </c>
      <c r="J21" s="856">
        <f>G21/F21</f>
        <v>1</v>
      </c>
    </row>
    <row r="22" spans="1:10" s="44" customFormat="1" ht="12" customHeight="1">
      <c r="A22" s="272"/>
      <c r="B22" s="275"/>
      <c r="C22" s="275" t="s">
        <v>345</v>
      </c>
      <c r="D22" s="276"/>
      <c r="E22" s="276"/>
      <c r="F22" s="859"/>
      <c r="G22" s="277"/>
      <c r="H22" s="277"/>
      <c r="I22" s="278"/>
      <c r="J22" s="279"/>
    </row>
    <row r="23" spans="1:10" s="44" customFormat="1" ht="12" customHeight="1">
      <c r="A23" s="272"/>
      <c r="B23" s="275"/>
      <c r="C23" s="275" t="s">
        <v>346</v>
      </c>
      <c r="D23" s="276"/>
      <c r="E23" s="276"/>
      <c r="F23" s="859"/>
      <c r="G23" s="277"/>
      <c r="H23" s="277"/>
      <c r="I23" s="278"/>
      <c r="J23" s="279"/>
    </row>
    <row r="24" spans="1:10" s="22" customFormat="1" ht="12">
      <c r="A24" s="842"/>
      <c r="B24" s="843"/>
      <c r="C24" s="843"/>
      <c r="D24" s="843"/>
      <c r="E24" s="843"/>
      <c r="F24" s="857"/>
      <c r="G24" s="844"/>
      <c r="H24" s="844"/>
      <c r="I24" s="845"/>
      <c r="J24" s="846"/>
    </row>
    <row r="25" spans="1:10" s="44" customFormat="1" ht="15.75" customHeight="1">
      <c r="A25" s="272">
        <v>6</v>
      </c>
      <c r="B25" s="275" t="s">
        <v>340</v>
      </c>
      <c r="C25" s="275" t="s">
        <v>368</v>
      </c>
      <c r="D25" s="276">
        <v>801</v>
      </c>
      <c r="E25" s="276">
        <v>80195</v>
      </c>
      <c r="F25" s="859">
        <v>40000</v>
      </c>
      <c r="G25" s="66">
        <f>H25+I25</f>
        <v>0</v>
      </c>
      <c r="H25" s="277"/>
      <c r="I25" s="298">
        <f>SUM(I26)</f>
        <v>0</v>
      </c>
      <c r="J25" s="856">
        <f>G25/F25</f>
        <v>0</v>
      </c>
    </row>
    <row r="26" spans="1:10" s="44" customFormat="1" ht="12" customHeight="1">
      <c r="A26" s="272"/>
      <c r="B26" s="275"/>
      <c r="C26" s="275" t="s">
        <v>290</v>
      </c>
      <c r="D26" s="276"/>
      <c r="E26" s="276"/>
      <c r="F26" s="859"/>
      <c r="G26" s="277"/>
      <c r="H26" s="277"/>
      <c r="I26" s="278"/>
      <c r="J26" s="279"/>
    </row>
    <row r="27" spans="1:10" s="850" customFormat="1" ht="12" customHeight="1">
      <c r="A27" s="842"/>
      <c r="B27" s="847"/>
      <c r="C27" s="847"/>
      <c r="D27" s="848"/>
      <c r="E27" s="848"/>
      <c r="F27" s="858"/>
      <c r="G27" s="849"/>
      <c r="H27" s="849"/>
      <c r="I27" s="851"/>
      <c r="J27" s="852"/>
    </row>
    <row r="28" spans="1:10" s="44" customFormat="1" ht="24">
      <c r="A28" s="13">
        <v>7</v>
      </c>
      <c r="B28" s="275" t="s">
        <v>340</v>
      </c>
      <c r="C28" s="275" t="s">
        <v>347</v>
      </c>
      <c r="D28" s="276">
        <v>926</v>
      </c>
      <c r="E28" s="276">
        <v>92601</v>
      </c>
      <c r="F28" s="859">
        <v>200000</v>
      </c>
      <c r="G28" s="66">
        <f>H28+I28</f>
        <v>0</v>
      </c>
      <c r="H28" s="277">
        <v>0</v>
      </c>
      <c r="I28" s="298"/>
      <c r="J28" s="856">
        <f>G28/F28</f>
        <v>0</v>
      </c>
    </row>
    <row r="29" spans="1:10" s="44" customFormat="1" ht="12.75" thickBot="1">
      <c r="A29" s="280"/>
      <c r="B29" s="49"/>
      <c r="C29" s="49"/>
      <c r="D29" s="276"/>
      <c r="E29" s="276"/>
      <c r="F29" s="805"/>
      <c r="G29" s="281"/>
      <c r="H29" s="281"/>
      <c r="I29" s="282"/>
      <c r="J29" s="279"/>
    </row>
    <row r="30" spans="1:10" s="12" customFormat="1" ht="12.75">
      <c r="A30" s="283"/>
      <c r="B30" s="284"/>
      <c r="C30" s="284"/>
      <c r="D30" s="284"/>
      <c r="E30" s="284"/>
      <c r="F30" s="284"/>
      <c r="G30" s="285"/>
      <c r="H30" s="285"/>
      <c r="I30" s="285"/>
      <c r="J30" s="286"/>
    </row>
    <row r="31" spans="1:10" s="12" customFormat="1" ht="13.5" thickBot="1">
      <c r="A31" s="287"/>
      <c r="B31" s="288" t="s">
        <v>135</v>
      </c>
      <c r="C31" s="288"/>
      <c r="D31" s="288" t="s">
        <v>319</v>
      </c>
      <c r="E31" s="288" t="s">
        <v>319</v>
      </c>
      <c r="F31" s="806">
        <f>SUM(F9:F29)</f>
        <v>1340000</v>
      </c>
      <c r="G31" s="289">
        <f>SUM(G9:G28)</f>
        <v>10000</v>
      </c>
      <c r="H31" s="289">
        <f>SUM(H9:H28)</f>
        <v>0</v>
      </c>
      <c r="I31" s="289">
        <f>SUM(I9:I28)</f>
        <v>10000</v>
      </c>
      <c r="J31" s="290">
        <f>G31/F31</f>
        <v>0.007462686567164179</v>
      </c>
    </row>
  </sheetData>
  <sheetProtection/>
  <mergeCells count="10">
    <mergeCell ref="J5:J6"/>
    <mergeCell ref="F5:F6"/>
    <mergeCell ref="A1:J1"/>
    <mergeCell ref="A5:A6"/>
    <mergeCell ref="B5:B6"/>
    <mergeCell ref="C5:C6"/>
    <mergeCell ref="D5:D6"/>
    <mergeCell ref="E5:E6"/>
    <mergeCell ref="G5:G6"/>
    <mergeCell ref="H5:I5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61"/>
  <sheetViews>
    <sheetView showGridLines="0" view="pageBreakPreview" zoomScaleSheetLayoutView="100" zoomScalePageLayoutView="0" workbookViewId="0" topLeftCell="A1">
      <selection activeCell="A38" sqref="A38"/>
    </sheetView>
  </sheetViews>
  <sheetFormatPr defaultColWidth="9.00390625" defaultRowHeight="12"/>
  <cols>
    <col min="1" max="1" width="5.25390625" style="75" customWidth="1"/>
    <col min="2" max="2" width="47.25390625" style="185" bestFit="1" customWidth="1"/>
    <col min="3" max="3" width="6.75390625" style="78" customWidth="1"/>
    <col min="4" max="4" width="10.75390625" style="78" customWidth="1"/>
    <col min="5" max="7" width="13.75390625" style="78" customWidth="1"/>
    <col min="8" max="8" width="14.75390625" style="78" customWidth="1"/>
    <col min="9" max="9" width="10.75390625" style="78" customWidth="1"/>
    <col min="10" max="10" width="9.875" style="74" bestFit="1" customWidth="1"/>
    <col min="11" max="16384" width="9.125" style="75" customWidth="1"/>
  </cols>
  <sheetData>
    <row r="1" spans="1:10" s="185" customFormat="1" ht="63" customHeight="1">
      <c r="A1" s="1483" t="s">
        <v>666</v>
      </c>
      <c r="B1" s="1483"/>
      <c r="C1" s="1483"/>
      <c r="D1" s="1483"/>
      <c r="E1" s="1483"/>
      <c r="F1" s="1483"/>
      <c r="G1" s="1483"/>
      <c r="H1" s="1483"/>
      <c r="I1" s="1483"/>
      <c r="J1" s="134"/>
    </row>
    <row r="2" spans="1:9" ht="18" customHeight="1">
      <c r="A2" s="311"/>
      <c r="B2" s="1455"/>
      <c r="C2" s="1455"/>
      <c r="D2" s="1455"/>
      <c r="E2" s="1455"/>
      <c r="F2" s="1455"/>
      <c r="G2" s="1455"/>
      <c r="H2" s="1455"/>
      <c r="I2" s="1455"/>
    </row>
    <row r="3" spans="1:9" ht="16.5" thickBot="1">
      <c r="A3" s="76"/>
      <c r="B3" s="77"/>
      <c r="C3" s="312"/>
      <c r="D3" s="312"/>
      <c r="I3" s="79" t="s">
        <v>0</v>
      </c>
    </row>
    <row r="4" spans="1:9" ht="24" customHeight="1">
      <c r="A4" s="1486" t="s">
        <v>264</v>
      </c>
      <c r="B4" s="1460" t="s">
        <v>393</v>
      </c>
      <c r="C4" s="1460" t="s">
        <v>1</v>
      </c>
      <c r="D4" s="1460" t="s">
        <v>25</v>
      </c>
      <c r="E4" s="1460" t="s">
        <v>3</v>
      </c>
      <c r="F4" s="1460" t="s">
        <v>199</v>
      </c>
      <c r="G4" s="1484" t="s">
        <v>185</v>
      </c>
      <c r="H4" s="1485"/>
      <c r="I4" s="1466" t="s">
        <v>265</v>
      </c>
    </row>
    <row r="5" spans="1:9" ht="24">
      <c r="A5" s="1487"/>
      <c r="B5" s="1462"/>
      <c r="C5" s="1462"/>
      <c r="D5" s="1462"/>
      <c r="E5" s="1462"/>
      <c r="F5" s="1462"/>
      <c r="G5" s="810" t="s">
        <v>385</v>
      </c>
      <c r="H5" s="810" t="s">
        <v>386</v>
      </c>
      <c r="I5" s="1468"/>
    </row>
    <row r="6" spans="1:9" ht="12.75" customHeight="1">
      <c r="A6" s="807">
        <v>1</v>
      </c>
      <c r="B6" s="808">
        <v>2</v>
      </c>
      <c r="C6" s="809">
        <v>3</v>
      </c>
      <c r="D6" s="809">
        <v>4</v>
      </c>
      <c r="E6" s="809">
        <v>5</v>
      </c>
      <c r="F6" s="760">
        <v>6</v>
      </c>
      <c r="G6" s="762">
        <v>7</v>
      </c>
      <c r="H6" s="759">
        <v>8</v>
      </c>
      <c r="I6" s="789">
        <v>9</v>
      </c>
    </row>
    <row r="7" spans="1:10" s="251" customFormat="1" ht="6" customHeight="1">
      <c r="A7" s="811"/>
      <c r="B7" s="812"/>
      <c r="C7" s="813"/>
      <c r="D7" s="813"/>
      <c r="E7" s="813"/>
      <c r="F7" s="814"/>
      <c r="G7" s="817"/>
      <c r="H7" s="814"/>
      <c r="I7" s="815"/>
      <c r="J7" s="816"/>
    </row>
    <row r="8" spans="1:10" s="232" customFormat="1" ht="28.5" customHeight="1">
      <c r="A8" s="313"/>
      <c r="B8" s="154" t="s">
        <v>354</v>
      </c>
      <c r="C8" s="314"/>
      <c r="D8" s="314"/>
      <c r="E8" s="315">
        <f>SUM(E12:E31)</f>
        <v>75000</v>
      </c>
      <c r="F8" s="316">
        <f>SUM(F12:F31)</f>
        <v>75000</v>
      </c>
      <c r="G8" s="316">
        <f>SUM(G12:G31)</f>
        <v>75000</v>
      </c>
      <c r="H8" s="316">
        <f>SUM(H12:H31)</f>
        <v>0</v>
      </c>
      <c r="I8" s="317">
        <f>F8/E8</f>
        <v>1</v>
      </c>
      <c r="J8" s="318"/>
    </row>
    <row r="9" spans="1:10" ht="12">
      <c r="A9" s="100"/>
      <c r="B9" s="108"/>
      <c r="C9" s="319"/>
      <c r="D9" s="319"/>
      <c r="E9" s="320"/>
      <c r="F9" s="321"/>
      <c r="G9" s="324"/>
      <c r="H9" s="324"/>
      <c r="I9" s="109"/>
      <c r="J9" s="134"/>
    </row>
    <row r="10" spans="1:10" ht="3.75" customHeight="1">
      <c r="A10" s="100"/>
      <c r="B10" s="150"/>
      <c r="C10" s="319"/>
      <c r="D10" s="319"/>
      <c r="E10" s="322"/>
      <c r="F10" s="323"/>
      <c r="G10" s="323"/>
      <c r="H10" s="323"/>
      <c r="I10" s="109"/>
      <c r="J10" s="134"/>
    </row>
    <row r="11" spans="1:9" ht="12">
      <c r="A11" s="100">
        <v>1</v>
      </c>
      <c r="B11" s="101" t="s">
        <v>282</v>
      </c>
      <c r="C11" s="105"/>
      <c r="D11" s="105"/>
      <c r="E11" s="106"/>
      <c r="F11" s="102"/>
      <c r="G11" s="225"/>
      <c r="H11" s="225"/>
      <c r="I11" s="72"/>
    </row>
    <row r="12" spans="1:9" ht="12">
      <c r="A12" s="100"/>
      <c r="B12" s="101" t="s">
        <v>355</v>
      </c>
      <c r="C12" s="105">
        <v>853</v>
      </c>
      <c r="D12" s="105">
        <v>85395</v>
      </c>
      <c r="E12" s="106">
        <v>36000</v>
      </c>
      <c r="F12" s="102">
        <f>G12+H12</f>
        <v>36000</v>
      </c>
      <c r="G12" s="225">
        <v>36000</v>
      </c>
      <c r="H12" s="225"/>
      <c r="I12" s="72">
        <f>SUM(F12/E12)</f>
        <v>1</v>
      </c>
    </row>
    <row r="13" spans="1:10" s="185" customFormat="1" ht="8.25" customHeight="1">
      <c r="A13" s="264"/>
      <c r="B13" s="108"/>
      <c r="C13" s="161"/>
      <c r="D13" s="161"/>
      <c r="E13" s="193"/>
      <c r="F13" s="192"/>
      <c r="G13" s="205"/>
      <c r="H13" s="205"/>
      <c r="I13" s="799"/>
      <c r="J13" s="134"/>
    </row>
    <row r="14" spans="1:9" ht="12">
      <c r="A14" s="100">
        <v>2</v>
      </c>
      <c r="B14" s="101" t="s">
        <v>356</v>
      </c>
      <c r="C14" s="105">
        <v>853</v>
      </c>
      <c r="D14" s="105">
        <v>85395</v>
      </c>
      <c r="E14" s="106">
        <v>5000</v>
      </c>
      <c r="F14" s="102">
        <v>5000</v>
      </c>
      <c r="G14" s="225">
        <v>5000</v>
      </c>
      <c r="H14" s="225"/>
      <c r="I14" s="72">
        <f>SUM(F14/E14)</f>
        <v>1</v>
      </c>
    </row>
    <row r="15" spans="1:10" s="185" customFormat="1" ht="10.5" customHeight="1">
      <c r="A15" s="264"/>
      <c r="B15" s="108"/>
      <c r="C15" s="161"/>
      <c r="D15" s="161"/>
      <c r="E15" s="193"/>
      <c r="F15" s="192"/>
      <c r="G15" s="205"/>
      <c r="H15" s="205"/>
      <c r="I15" s="799"/>
      <c r="J15" s="134"/>
    </row>
    <row r="16" spans="1:9" ht="12">
      <c r="A16" s="100">
        <v>3</v>
      </c>
      <c r="B16" s="101" t="s">
        <v>357</v>
      </c>
      <c r="C16" s="105">
        <v>853</v>
      </c>
      <c r="D16" s="105">
        <v>85395</v>
      </c>
      <c r="E16" s="106">
        <v>7500</v>
      </c>
      <c r="F16" s="102">
        <v>7500</v>
      </c>
      <c r="G16" s="225">
        <v>7500</v>
      </c>
      <c r="H16" s="225"/>
      <c r="I16" s="72">
        <f>SUM(F16/E16)</f>
        <v>1</v>
      </c>
    </row>
    <row r="17" spans="1:9" ht="12">
      <c r="A17" s="100"/>
      <c r="B17" s="101" t="s">
        <v>358</v>
      </c>
      <c r="C17" s="105"/>
      <c r="D17" s="105"/>
      <c r="E17" s="106"/>
      <c r="F17" s="102"/>
      <c r="G17" s="225"/>
      <c r="H17" s="225"/>
      <c r="I17" s="72"/>
    </row>
    <row r="18" spans="1:10" s="185" customFormat="1" ht="8.25" customHeight="1">
      <c r="A18" s="264"/>
      <c r="B18" s="108"/>
      <c r="C18" s="161"/>
      <c r="D18" s="161"/>
      <c r="E18" s="193"/>
      <c r="F18" s="192"/>
      <c r="G18" s="205"/>
      <c r="H18" s="205"/>
      <c r="I18" s="799"/>
      <c r="J18" s="134"/>
    </row>
    <row r="19" spans="1:9" ht="12">
      <c r="A19" s="100">
        <v>4</v>
      </c>
      <c r="B19" s="101" t="s">
        <v>394</v>
      </c>
      <c r="C19" s="105">
        <v>853</v>
      </c>
      <c r="D19" s="105">
        <v>85395</v>
      </c>
      <c r="E19" s="106">
        <v>5000</v>
      </c>
      <c r="F19" s="102">
        <v>5000</v>
      </c>
      <c r="G19" s="225">
        <v>5000</v>
      </c>
      <c r="H19" s="225"/>
      <c r="I19" s="72">
        <f>SUM(F19/E19)</f>
        <v>1</v>
      </c>
    </row>
    <row r="20" spans="1:9" ht="12">
      <c r="A20" s="100"/>
      <c r="B20" s="101" t="s">
        <v>359</v>
      </c>
      <c r="C20" s="105"/>
      <c r="D20" s="105"/>
      <c r="E20" s="106"/>
      <c r="F20" s="102"/>
      <c r="G20" s="225"/>
      <c r="H20" s="225"/>
      <c r="I20" s="72"/>
    </row>
    <row r="21" spans="1:10" s="185" customFormat="1" ht="8.25" customHeight="1">
      <c r="A21" s="264"/>
      <c r="B21" s="108"/>
      <c r="C21" s="161"/>
      <c r="D21" s="161"/>
      <c r="E21" s="193"/>
      <c r="F21" s="192"/>
      <c r="G21" s="205"/>
      <c r="H21" s="205"/>
      <c r="I21" s="799"/>
      <c r="J21" s="134"/>
    </row>
    <row r="22" spans="1:9" ht="12">
      <c r="A22" s="100">
        <v>5</v>
      </c>
      <c r="B22" s="101" t="s">
        <v>360</v>
      </c>
      <c r="C22" s="105">
        <v>853</v>
      </c>
      <c r="D22" s="105">
        <v>85395</v>
      </c>
      <c r="E22" s="106">
        <v>4000</v>
      </c>
      <c r="F22" s="102">
        <v>4000</v>
      </c>
      <c r="G22" s="225">
        <v>4000</v>
      </c>
      <c r="H22" s="225"/>
      <c r="I22" s="72">
        <f>F22/E22</f>
        <v>1</v>
      </c>
    </row>
    <row r="23" spans="1:10" s="185" customFormat="1" ht="8.25" customHeight="1">
      <c r="A23" s="264"/>
      <c r="B23" s="108"/>
      <c r="C23" s="161"/>
      <c r="D23" s="161"/>
      <c r="E23" s="193"/>
      <c r="F23" s="192"/>
      <c r="G23" s="205"/>
      <c r="H23" s="205"/>
      <c r="I23" s="799"/>
      <c r="J23" s="134"/>
    </row>
    <row r="24" spans="1:9" ht="12">
      <c r="A24" s="100">
        <v>6</v>
      </c>
      <c r="B24" s="101" t="s">
        <v>361</v>
      </c>
      <c r="C24" s="105">
        <v>853</v>
      </c>
      <c r="D24" s="105">
        <v>85395</v>
      </c>
      <c r="E24" s="106">
        <v>7500</v>
      </c>
      <c r="F24" s="102">
        <v>7500</v>
      </c>
      <c r="G24" s="225">
        <v>7500</v>
      </c>
      <c r="H24" s="225"/>
      <c r="I24" s="72">
        <f>F24/E24</f>
        <v>1</v>
      </c>
    </row>
    <row r="25" spans="1:9" ht="12">
      <c r="A25" s="100"/>
      <c r="B25" s="101" t="s">
        <v>362</v>
      </c>
      <c r="C25" s="105"/>
      <c r="D25" s="105"/>
      <c r="E25" s="106"/>
      <c r="F25" s="102"/>
      <c r="G25" s="225"/>
      <c r="H25" s="225"/>
      <c r="I25" s="72"/>
    </row>
    <row r="26" spans="1:10" s="185" customFormat="1" ht="8.25" customHeight="1">
      <c r="A26" s="264"/>
      <c r="B26" s="108"/>
      <c r="C26" s="161"/>
      <c r="D26" s="161"/>
      <c r="E26" s="193"/>
      <c r="F26" s="192"/>
      <c r="G26" s="205"/>
      <c r="H26" s="205"/>
      <c r="I26" s="799"/>
      <c r="J26" s="134"/>
    </row>
    <row r="27" spans="1:9" ht="12">
      <c r="A27" s="100">
        <v>7</v>
      </c>
      <c r="B27" s="101" t="s">
        <v>363</v>
      </c>
      <c r="C27" s="105">
        <v>853</v>
      </c>
      <c r="D27" s="105">
        <v>85395</v>
      </c>
      <c r="E27" s="106">
        <v>5000</v>
      </c>
      <c r="F27" s="102">
        <v>5000</v>
      </c>
      <c r="G27" s="225">
        <v>5000</v>
      </c>
      <c r="H27" s="225"/>
      <c r="I27" s="72">
        <f>F27/E27</f>
        <v>1</v>
      </c>
    </row>
    <row r="28" spans="1:9" ht="12">
      <c r="A28" s="100"/>
      <c r="B28" s="101" t="s">
        <v>364</v>
      </c>
      <c r="C28" s="105"/>
      <c r="D28" s="105"/>
      <c r="E28" s="106"/>
      <c r="F28" s="102"/>
      <c r="G28" s="225"/>
      <c r="H28" s="225"/>
      <c r="I28" s="72"/>
    </row>
    <row r="29" spans="1:9" ht="12">
      <c r="A29" s="100"/>
      <c r="B29" s="101" t="s">
        <v>365</v>
      </c>
      <c r="C29" s="105"/>
      <c r="D29" s="105"/>
      <c r="E29" s="106"/>
      <c r="F29" s="102"/>
      <c r="G29" s="225"/>
      <c r="H29" s="225"/>
      <c r="I29" s="72"/>
    </row>
    <row r="30" spans="1:10" s="185" customFormat="1" ht="8.25" customHeight="1">
      <c r="A30" s="264"/>
      <c r="B30" s="108"/>
      <c r="C30" s="161"/>
      <c r="D30" s="161"/>
      <c r="E30" s="193"/>
      <c r="F30" s="192"/>
      <c r="G30" s="205"/>
      <c r="H30" s="205"/>
      <c r="I30" s="799"/>
      <c r="J30" s="134"/>
    </row>
    <row r="31" spans="1:9" ht="12" customHeight="1">
      <c r="A31" s="100">
        <v>8</v>
      </c>
      <c r="B31" s="101" t="s">
        <v>367</v>
      </c>
      <c r="C31" s="105">
        <v>853</v>
      </c>
      <c r="D31" s="105">
        <v>85395</v>
      </c>
      <c r="E31" s="106">
        <v>5000</v>
      </c>
      <c r="F31" s="102">
        <v>5000</v>
      </c>
      <c r="G31" s="225">
        <v>5000</v>
      </c>
      <c r="H31" s="225"/>
      <c r="I31" s="72">
        <f>F31/E31</f>
        <v>1</v>
      </c>
    </row>
    <row r="32" spans="1:9" ht="8.25" customHeight="1">
      <c r="A32" s="100"/>
      <c r="B32" s="108"/>
      <c r="C32" s="319"/>
      <c r="D32" s="319"/>
      <c r="E32" s="320"/>
      <c r="F32" s="321"/>
      <c r="G32" s="324"/>
      <c r="H32" s="324"/>
      <c r="I32" s="109"/>
    </row>
    <row r="33" spans="1:10" s="232" customFormat="1" ht="29.25" customHeight="1">
      <c r="A33" s="818"/>
      <c r="B33" s="163" t="s">
        <v>391</v>
      </c>
      <c r="C33" s="819"/>
      <c r="D33" s="819"/>
      <c r="E33" s="820">
        <f>E35</f>
        <v>10000</v>
      </c>
      <c r="F33" s="821">
        <f>F35</f>
        <v>0</v>
      </c>
      <c r="G33" s="821">
        <f>G35</f>
        <v>0</v>
      </c>
      <c r="H33" s="821">
        <f>H35</f>
        <v>0</v>
      </c>
      <c r="I33" s="822">
        <f>F33/E33</f>
        <v>0</v>
      </c>
      <c r="J33" s="318"/>
    </row>
    <row r="34" spans="1:9" ht="5.25" customHeight="1">
      <c r="A34" s="100"/>
      <c r="B34" s="108"/>
      <c r="C34" s="319"/>
      <c r="D34" s="319"/>
      <c r="E34" s="320"/>
      <c r="F34" s="321"/>
      <c r="G34" s="324"/>
      <c r="H34" s="324"/>
      <c r="I34" s="109"/>
    </row>
    <row r="35" spans="1:9" ht="19.5" customHeight="1" thickBot="1">
      <c r="A35" s="100">
        <v>9</v>
      </c>
      <c r="B35" s="101" t="s">
        <v>366</v>
      </c>
      <c r="C35" s="105">
        <v>853</v>
      </c>
      <c r="D35" s="105">
        <v>85395</v>
      </c>
      <c r="E35" s="106">
        <v>10000</v>
      </c>
      <c r="F35" s="102">
        <v>0</v>
      </c>
      <c r="G35" s="225">
        <v>0</v>
      </c>
      <c r="H35" s="225"/>
      <c r="I35" s="72">
        <f>F35/E35</f>
        <v>0</v>
      </c>
    </row>
    <row r="36" spans="1:9" ht="12">
      <c r="A36" s="176"/>
      <c r="B36" s="177"/>
      <c r="C36" s="325"/>
      <c r="D36" s="325"/>
      <c r="E36" s="326"/>
      <c r="F36" s="327"/>
      <c r="G36" s="327"/>
      <c r="H36" s="327"/>
      <c r="I36" s="178"/>
    </row>
    <row r="37" spans="1:9" ht="15.75" thickBot="1">
      <c r="A37" s="151"/>
      <c r="B37" s="268" t="s">
        <v>135</v>
      </c>
      <c r="C37" s="269" t="s">
        <v>319</v>
      </c>
      <c r="D37" s="269" t="s">
        <v>319</v>
      </c>
      <c r="E37" s="328">
        <f>E33+E8</f>
        <v>85000</v>
      </c>
      <c r="F37" s="823">
        <f>F33+F8</f>
        <v>75000</v>
      </c>
      <c r="G37" s="823">
        <f>G33+G8</f>
        <v>75000</v>
      </c>
      <c r="H37" s="823">
        <f>H33+H8</f>
        <v>0</v>
      </c>
      <c r="I37" s="329">
        <f>F37/E37</f>
        <v>0.8823529411764706</v>
      </c>
    </row>
    <row r="39" spans="5:10" ht="12">
      <c r="E39" s="330"/>
      <c r="J39" s="111"/>
    </row>
    <row r="41" spans="5:8" ht="12">
      <c r="E41" s="330"/>
      <c r="F41" s="331"/>
      <c r="G41" s="331"/>
      <c r="H41" s="331"/>
    </row>
    <row r="54" ht="12" customHeight="1">
      <c r="J54" s="134"/>
    </row>
    <row r="55" ht="12" customHeight="1">
      <c r="J55" s="134"/>
    </row>
    <row r="56" ht="12" customHeight="1">
      <c r="J56" s="134"/>
    </row>
    <row r="57" ht="12" customHeight="1">
      <c r="J57" s="158"/>
    </row>
    <row r="58" ht="12" customHeight="1">
      <c r="J58" s="134"/>
    </row>
    <row r="59" ht="12" customHeight="1">
      <c r="J59" s="134"/>
    </row>
    <row r="60" ht="12" customHeight="1">
      <c r="J60" s="134"/>
    </row>
    <row r="61" ht="12" customHeight="1">
      <c r="J61" s="134"/>
    </row>
  </sheetData>
  <sheetProtection/>
  <mergeCells count="10">
    <mergeCell ref="I4:I5"/>
    <mergeCell ref="A1:I1"/>
    <mergeCell ref="B2:I2"/>
    <mergeCell ref="G4:H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w Policach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NTT</cp:lastModifiedBy>
  <cp:lastPrinted>2009-11-12T16:26:42Z</cp:lastPrinted>
  <dcterms:created xsi:type="dcterms:W3CDTF">2008-03-21T10:56:44Z</dcterms:created>
  <dcterms:modified xsi:type="dcterms:W3CDTF">2009-12-15T08:51:04Z</dcterms:modified>
  <cp:category/>
  <cp:version/>
  <cp:contentType/>
  <cp:contentStatus/>
</cp:coreProperties>
</file>