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11640" tabRatio="654" activeTab="0"/>
  </bookViews>
  <sheets>
    <sheet name="1 - dochody " sheetId="1" r:id="rId1"/>
    <sheet name="2-dochody układzie rodzajowym" sheetId="2" r:id="rId2"/>
    <sheet name="3 - wydatki" sheetId="3" r:id="rId3"/>
    <sheet name="6 - jedn. pomocn." sheetId="4" r:id="rId4"/>
    <sheet name="4 - dotacje zakłady budż" sheetId="5" r:id="rId5"/>
    <sheet name="6 - dotacje celowe " sheetId="6" r:id="rId6"/>
    <sheet name="7 - dotacje pozost" sheetId="7" r:id="rId7"/>
    <sheet name="8 - dotacje pomoc Woj. i Pow." sheetId="8" r:id="rId8"/>
    <sheet name="9 - dotacje porozum m jst" sheetId="9" r:id="rId9"/>
    <sheet name="10 - wspólne m jst" sheetId="10" r:id="rId10"/>
    <sheet name="11 - wyd na progr współfin" sheetId="11" r:id="rId11"/>
  </sheets>
  <definedNames>
    <definedName name="_xlnm.Print_Area" localSheetId="0">'1 - dochody '!$A$1:$I$476</definedName>
    <definedName name="_xlnm.Print_Area" localSheetId="10">'11 - wyd na progr współfin'!$A$1:$Q$25</definedName>
    <definedName name="_xlnm.Print_Area" localSheetId="1">'2-dochody układzie rodzajowym'!$A$1:$D$73</definedName>
    <definedName name="_xlnm.Print_Area" localSheetId="4">'4 - dotacje zakłady budż'!$A$1:$G$148</definedName>
    <definedName name="_xlnm.Print_Area" localSheetId="5">'6 - dotacje celowe '!$A$1:$G$132</definedName>
    <definedName name="_xlnm.Print_Area" localSheetId="6">'7 - dotacje pozost'!$A$1:$G$44</definedName>
  </definedNames>
  <calcPr fullCalcOnLoad="1"/>
</workbook>
</file>

<file path=xl/comments3.xml><?xml version="1.0" encoding="utf-8"?>
<comments xmlns="http://schemas.openxmlformats.org/spreadsheetml/2006/main">
  <authors>
    <author>ug</author>
  </authors>
  <commentList>
    <comment ref="D293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6300 plan 200.000 zł
2710 plan 500.000 zł
</t>
        </r>
      </text>
    </comment>
  </commentList>
</comments>
</file>

<file path=xl/sharedStrings.xml><?xml version="1.0" encoding="utf-8"?>
<sst xmlns="http://schemas.openxmlformats.org/spreadsheetml/2006/main" count="1382" uniqueCount="636">
  <si>
    <t>Budżet rad osiedli i sołectw za 9 miesięcy 2008 r. został zwiększony o łączną kwotę 85.828 zł, z czego:</t>
  </si>
  <si>
    <t xml:space="preserve">1.4.6. Dotacje celowe na zadania realizowane w drodze porozumień (umów)  </t>
  </si>
  <si>
    <t>między jednostkami samorządu terytorialnego</t>
  </si>
  <si>
    <t>1.4.7. Dotacje celowe na zadania wspólne realizowane w drodze umów 
          lub porozumień między jednostkami samorządu terytorialnego.</t>
  </si>
  <si>
    <t>Dotacje celowe na realizację projektu pn. "Pobudka – rozwój potencjału zawodowego młodzieży w wieku 18 – 25 lat",</t>
  </si>
  <si>
    <t xml:space="preserve"> - dotacja celowa dla Gminy Dobra</t>
  </si>
  <si>
    <t xml:space="preserve"> - dotacja celowa dla Gminy Kołbaskowo</t>
  </si>
  <si>
    <t xml:space="preserve"> - dotacja celowa dla Gminy Nowe Warpno</t>
  </si>
  <si>
    <t xml:space="preserve"> - dotacja celowa dla Powiatu Polickiego</t>
  </si>
  <si>
    <t xml:space="preserve">1.5. Wydatki na programy i projekty realizowane ze środków, o których mowa w art. 5 ust. 1 pkt 2 i 3 ustawy o finansach publicznych,
       w części związanej z realizacją zadań gminy. </t>
  </si>
  <si>
    <t>Lp.</t>
  </si>
  <si>
    <t>Nazwa programu</t>
  </si>
  <si>
    <t>Nazwa projektu</t>
  </si>
  <si>
    <t>Jednostka organizacyjna realizująca program
lub koordynująca wykonywanie programu</t>
  </si>
  <si>
    <t>Okres realizacji</t>
  </si>
  <si>
    <t>Łączne nakłady finansowe</t>
  </si>
  <si>
    <t>Koszty kwalifikowane 
w ramach projektu</t>
  </si>
  <si>
    <t>Plan na 2008 r.</t>
  </si>
  <si>
    <t>Realizacja
12:11</t>
  </si>
  <si>
    <t>Rok rozpoczęcia</t>
  </si>
  <si>
    <t>Rok zakończenia</t>
  </si>
  <si>
    <t>środki budżetowe</t>
  </si>
  <si>
    <t>dotacje z GFOŚiGW</t>
  </si>
  <si>
    <t>środki pomocowe</t>
  </si>
  <si>
    <t>inne środki</t>
  </si>
  <si>
    <t>Regionalny Program Operacyjny dla województwa zachodniopomorskiego</t>
  </si>
  <si>
    <t>Wydział TI</t>
  </si>
  <si>
    <t xml:space="preserve"> INTERREG IV</t>
  </si>
  <si>
    <t>Budowa infrastruktury informatycznej oraz systemu informacji przestrzennej GIS</t>
  </si>
  <si>
    <t>Wydział UA</t>
  </si>
  <si>
    <t>Przebudowa remizy OSP w Trzebieży oraz ochrona przeciwpożarowa na terenie gminy</t>
  </si>
  <si>
    <t xml:space="preserve">Program polsko-niemiecki </t>
  </si>
  <si>
    <t>Poznajemy historię Szczecina</t>
  </si>
  <si>
    <t>Szkoła Podstawowa nr 8 
w Policach</t>
  </si>
  <si>
    <t>Program Operacyjny Kapitał Ludzki</t>
  </si>
  <si>
    <t>Pobudka – rozwój potencjału zawodowego młodzieży w wieku 18 – 25 lat</t>
  </si>
  <si>
    <t>Ośrodek Pomocy Społecznej 
w Policach</t>
  </si>
  <si>
    <t>"Skrzydła dla najmłodszych - wyrównywanie szans w dostępie do edukacji przedszkolnej 
w Policach" 
nr projektu POKL/1/9.1.1/12/08</t>
  </si>
  <si>
    <t>Wydział PI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</si>
  <si>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</si>
  <si>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</si>
  <si>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</si>
  <si>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</si>
  <si>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"Łatwiejszy dostęp do edukacji poprzez kurs języka niemieckiego w Tanowie" 
nr projektu POKL/1/9.5/94-2/07</t>
  </si>
  <si>
    <t>"Nauka języka angielskiego szansą podnoszenia poziomu wykształcenia i kwalifikacji" 
nr projektu POKL/1/9.5/95-2/07</t>
  </si>
  <si>
    <t>"Edukacja i kultura w Pilchowie - teatr i literatura bez tajemnic" 
nr projektu POKL/1/9.5/96-1/07</t>
  </si>
  <si>
    <t>"Łatwiejszy dostęp do edukacji poprzez  kurs języka niemieckiego w Trzebieży" 
nr projektu POKL/1/9.5/97-2/07</t>
  </si>
  <si>
    <t>"Język angielski szansą zdobycia lepszego wykształcenia w Drogoradzu" 
nr projektu POKL/1/9.5/98-2/07</t>
  </si>
  <si>
    <t>"Dostęp do edukacji na wsi - dziennikarstwo, literatura i język polski" 
nr projektu POKL/1/9.5/99-1/07</t>
  </si>
  <si>
    <t>"Język angielski szansą lepszego wykształcenia w Przęsocinie" 
nr projektu POKL/1/9.5/100-2/07</t>
  </si>
  <si>
    <t>"Język angielski - lepsze wykształcenie, lepsze kwalifikacje, lepsza przyszłość" 
nr projektu POKL/1/9.5/101-2/07</t>
  </si>
  <si>
    <t>Przebudowa rurociągu na cieku melioracyjnym "Grzybnica" oraz budowa sieci kanalizacji sanitarnej w ul. Kochanowskiego w Policach</t>
  </si>
  <si>
    <t>Program Rozwoju Obszarów Wiejskich</t>
  </si>
  <si>
    <t>Budowa świetlicy wiejskiej w Trzeszczynie</t>
  </si>
  <si>
    <t>* UWAGA! W dziale 852 rozdział 85212 kol.8 kwota 179.980,76 zł dotyczy wyłącznie wynagrodzeń i pochodnych pracowniczych, nie obejmuje składek od świadczeń rodzinnych (tj. kwoty 63.417,10 zł).</t>
  </si>
  <si>
    <t>1.4. Zestawienie udzielonych dotacji.</t>
  </si>
  <si>
    <t>Stowarzyszenie Kobiet po Mastektomii</t>
  </si>
  <si>
    <t>w zł</t>
  </si>
  <si>
    <t>Dział</t>
  </si>
  <si>
    <t xml:space="preserve">              Treść</t>
  </si>
  <si>
    <t>Plan</t>
  </si>
  <si>
    <t>z tego:</t>
  </si>
  <si>
    <t>dochody bieżące</t>
  </si>
  <si>
    <t>dochody majątkowe</t>
  </si>
  <si>
    <t>WYTWARZANIE I ZAOPATRYWANIE 
W ENERGIĘ ELEKTRYCZNĄ, GAZ I WODĘ</t>
  </si>
  <si>
    <t>TRANSPORT I ŁĄCZNOŚĆ</t>
  </si>
  <si>
    <t>GOSPODARKA MIESZKANIOWA</t>
  </si>
  <si>
    <t>ADMINISTRACJA PUBLICZNA</t>
  </si>
  <si>
    <t xml:space="preserve">URZĘDY NACZELNYCH ORGANÓW WŁADZY PAŃSTWOWEJ, </t>
  </si>
  <si>
    <t>KONTROLI I OCHRONY PRAWA ORAZ SĄDOWNICTWA</t>
  </si>
  <si>
    <t>BEZPIECZEŃSTWO PUBLICZNE</t>
  </si>
  <si>
    <t>I OCHRONA PRZECIWPOŻAROWA</t>
  </si>
  <si>
    <t xml:space="preserve">DOCHODY OD OSÓB PRAWNYCH, OD OSÓB FIZYCZNYCH </t>
  </si>
  <si>
    <t>I OD INNYCH JEDNOSTEK NIEPOSIADAJĄCYCH OSOBOWOŚCI PRAWNEJ</t>
  </si>
  <si>
    <t>ORAZ WYDATKI ZWIĄZANE Z ICH POBOREM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</si>
  <si>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</si>
  <si>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</si>
  <si>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</si>
  <si>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</si>
  <si>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</si>
  <si>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GOSPODARKA KOMUNALNA I OCHRONA ŚRODOWISKA</t>
  </si>
  <si>
    <t>KULTURA I OCHRONA DZIEDZICTWA NARODOWEGO</t>
  </si>
  <si>
    <t>KULTURA FIZYCZNA I SPORT</t>
  </si>
  <si>
    <t>OGÓŁEM</t>
  </si>
  <si>
    <t>Rozdział</t>
  </si>
  <si>
    <t>Paragraf</t>
  </si>
  <si>
    <t>Treść</t>
  </si>
  <si>
    <t>Dostarczanie wody</t>
  </si>
  <si>
    <t>Dotacje otrzymane z funduszy celowych na finansowanie lub dofinansowanie kosztów realizacji inwestycji i zakupów inwestycyjnych jednostek sektora finansów publicznych</t>
  </si>
  <si>
    <t>Środki na dofinansowanie własnych inwestycji gmin (związków gmin), powiatów (związków powiatów), samorządów województw, pozyskane z innych źródeł</t>
  </si>
  <si>
    <t>Drogi publiczne gminne</t>
  </si>
  <si>
    <t>Zakłady gospodarki mieszkaniowej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</si>
  <si>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</si>
  <si>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</si>
  <si>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</si>
  <si>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</si>
  <si>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</si>
  <si>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</si>
  <si>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</si>
  <si>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</si>
  <si>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</si>
  <si>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</si>
  <si>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</si>
  <si>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</si>
  <si>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</si>
  <si>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</si>
  <si>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</si>
  <si>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Promocja jednostek samorządu terytorialnego</t>
  </si>
  <si>
    <t>2708</t>
  </si>
  <si>
    <t>Środki na dofinansowanie własnych zadań bieżących gmin (związków gmin), powiatów (związków powiatów), samorządów województw, pozyskane z innych źródeł</t>
  </si>
  <si>
    <t>Pozostała działalność</t>
  </si>
  <si>
    <t>BEZPIECZEŃSTWO PUBLICZNE I OCHRONA</t>
  </si>
  <si>
    <t>PRZECIWPOŻAROWA</t>
  </si>
  <si>
    <t>Ochotnicze straże pożarne</t>
  </si>
  <si>
    <t>Straż Miejska</t>
  </si>
  <si>
    <t>0570</t>
  </si>
  <si>
    <t>Grzywny, mandaty i inne kary pieniężne od osób fizycznych</t>
  </si>
  <si>
    <t>DOCHODY OD OSÓB PRAWNYCH, OD OSÓB</t>
  </si>
  <si>
    <t>FIZYCZNYCH I OD INNYCH JEDNOSTEK</t>
  </si>
  <si>
    <t>NIEPOSIADAJĄCYCH OSOBOWOŚCI PRAWNEJ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</si>
  <si>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</si>
  <si>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</si>
  <si>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</si>
  <si>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</t>
  </si>
  <si>
    <t>cywilnoprawnych, podatków i opłat lokalnych od osób prawnych</t>
  </si>
  <si>
    <t>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</si>
  <si>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</si>
  <si>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</si>
  <si>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</si>
  <si>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</si>
  <si>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</si>
  <si>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</si>
  <si>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</si>
  <si>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</si>
  <si>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</si>
  <si>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</si>
  <si>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0690</t>
  </si>
  <si>
    <t>Wpływy z różnych opłat</t>
  </si>
  <si>
    <t>0910</t>
  </si>
  <si>
    <t>Odsetki od nieterminowych wpłat z tytułu podatków i opłat</t>
  </si>
  <si>
    <t>2680</t>
  </si>
  <si>
    <t>Rekompensaty utraconych dochodów w podatkach i opłatach lokalnych</t>
  </si>
  <si>
    <t>Wpływy z podatku rolnego, podatku leśnego, podatku od spadków i darowizn,</t>
  </si>
  <si>
    <t>podatku od czynności cywilnoprawnych oraz podatków i opłat lokalnych</t>
  </si>
  <si>
    <t>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</si>
  <si>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</si>
  <si>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</si>
  <si>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</si>
  <si>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</si>
  <si>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</si>
  <si>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</si>
  <si>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0560</t>
  </si>
  <si>
    <t>Zaległości z podatków zniesionych</t>
  </si>
  <si>
    <t>Wpływy z innych opłat stanowiących dochody</t>
  </si>
  <si>
    <t>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</si>
  <si>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</si>
  <si>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</si>
  <si>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</si>
  <si>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</si>
  <si>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</si>
  <si>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</si>
  <si>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</si>
  <si>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</si>
  <si>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</si>
  <si>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</si>
  <si>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 xml:space="preserve">Udziały gmin w podatkach stanowiących </t>
  </si>
  <si>
    <t>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</si>
  <si>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</si>
  <si>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</si>
  <si>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</si>
  <si>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</si>
  <si>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</si>
  <si>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</si>
  <si>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</si>
  <si>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</si>
  <si>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Część równoważąca subwencji ogólnej dla gmin</t>
  </si>
  <si>
    <t>Szkoły podstawowe</t>
  </si>
  <si>
    <t>Przedszkola</t>
  </si>
  <si>
    <t>6260</t>
  </si>
  <si>
    <t>Gimnazja</t>
  </si>
  <si>
    <t>2030</t>
  </si>
  <si>
    <t>Dotacje celowe otrzymane z budżetu państwa na realizację własnych zadań bieżących gmin (związków gmin)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</si>
  <si>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</si>
  <si>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</si>
  <si>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Świadczenia rodzinne, zaliczka alimentacyjna oraz składki </t>
  </si>
  <si>
    <t>na ubezpieczenia emerytalne i rentowe z ubezpieczenia społecznego</t>
  </si>
  <si>
    <t>Zasiłki i pomoc w naturze oraz składki na ubezpieczenia emerytalne i rentowe</t>
  </si>
  <si>
    <t>Ośrodki pomocy społecznej</t>
  </si>
  <si>
    <t>Usługi opiekuńcze i specjalistyczne usługi opiekuńcze</t>
  </si>
  <si>
    <t>0830</t>
  </si>
  <si>
    <t>Wpływy z usług</t>
  </si>
  <si>
    <t>Pozostałe zadania w zakresie polityki społecznej</t>
  </si>
  <si>
    <t>Gospodarka ściekowa i ochrona wód</t>
  </si>
  <si>
    <t>Gospodarka odpadami</t>
  </si>
  <si>
    <t>Dotacje otrzymane z funduszy celowych na realizację zadań bieżących jednostek sektora finansów publicznych</t>
  </si>
  <si>
    <t>Utrzymanie zieleni w miastach i gminach</t>
  </si>
  <si>
    <t>2440</t>
  </si>
  <si>
    <t>Wpływy i wydatki związane z gromadzeniem środków</t>
  </si>
  <si>
    <t>z opłat produktowych</t>
  </si>
  <si>
    <t>0400</t>
  </si>
  <si>
    <t>Wpływy z opłaty produktowej</t>
  </si>
  <si>
    <t>Domy i ośrodki kultury, świetlice i kluby</t>
  </si>
  <si>
    <t>Instytucje kultury fizycznej</t>
  </si>
  <si>
    <t>RAZEM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</si>
  <si>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</si>
  <si>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</si>
  <si>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</si>
  <si>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</si>
  <si>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Urzędy naczelnych organów władzy państwowej,</t>
  </si>
  <si>
    <t>kontroli i ochrony prawa</t>
  </si>
  <si>
    <t>Ośrodki wsparcia</t>
  </si>
  <si>
    <t xml:space="preserve">Składki na ubezpieczenia zdrowotne opłacane za osoby pobierające </t>
  </si>
  <si>
    <t>niektóre świadczenia z pomocy społecznej, niektóre świadczenia rodzinne</t>
  </si>
  <si>
    <t>oraz za osoby uczestniczące w zajęciach w centrum integracji społecznej</t>
  </si>
  <si>
    <t>Drogi publiczne wojewódzkie</t>
  </si>
  <si>
    <t>Drogi publiczne powiatowe</t>
  </si>
  <si>
    <t>Dotacje celowe otrzymane z powiatu na zadania bieżące realizowane na podstawie porozumień (umów) między jednostkami samorządu terytorialnego</t>
  </si>
  <si>
    <t>Wyszczególnienie</t>
  </si>
  <si>
    <t xml:space="preserve">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</si>
  <si>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</si>
  <si>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</si>
  <si>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</si>
  <si>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opłata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</si>
  <si>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</si>
  <si>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</si>
  <si>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</si>
  <si>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</si>
  <si>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</si>
  <si>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 ) udziały w podatkach stanowiących</t>
  </si>
  <si>
    <t xml:space="preserve">         dochód budżetu państwa:</t>
  </si>
  <si>
    <t xml:space="preserve">         - w podatku doch. od osób fizycznych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</si>
  <si>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</si>
  <si>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</si>
  <si>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</si>
  <si>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</si>
  <si>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</si>
  <si>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</si>
  <si>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o) odsetki</t>
  </si>
  <si>
    <t xml:space="preserve">     p) pozostałe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</si>
  <si>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</si>
  <si>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</si>
  <si>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</si>
  <si>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   - dzierżawa na targowisku</t>
  </si>
  <si>
    <t xml:space="preserve">     c) sprzedaż mienia</t>
  </si>
  <si>
    <t xml:space="preserve">     d) pozostałe</t>
  </si>
  <si>
    <t xml:space="preserve">  3. Subwencje: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</si>
  <si>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</si>
  <si>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</si>
  <si>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</si>
  <si>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</si>
  <si>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   - dotacje, z tego:</t>
  </si>
  <si>
    <t xml:space="preserve">          - z budżetu państwa</t>
  </si>
  <si>
    <t xml:space="preserve">        - środki, z tego:</t>
  </si>
  <si>
    <t xml:space="preserve">          - z funduszy strukturalnych INTERREG III</t>
  </si>
  <si>
    <t xml:space="preserve">         - dotacje z budżetu państwa</t>
  </si>
  <si>
    <t xml:space="preserve">         - dotacja z Powiatu Polickiego</t>
  </si>
  <si>
    <t xml:space="preserve">  5. Pozostałe dochody</t>
  </si>
  <si>
    <t>wydatki bieżące</t>
  </si>
  <si>
    <t>w tym:</t>
  </si>
  <si>
    <t>wydatki majątkowe</t>
  </si>
  <si>
    <t>dotacje</t>
  </si>
  <si>
    <t>wynagrodzenia
i pochodne od wynagrodzeń</t>
  </si>
  <si>
    <t>wydatki na obsługę długu</t>
  </si>
  <si>
    <t>wydatki z tytułu poręczeń i gwarancji</t>
  </si>
  <si>
    <t>010</t>
  </si>
  <si>
    <t>ROLNICTWO I ŁOWIECTWO</t>
  </si>
  <si>
    <t>400</t>
  </si>
  <si>
    <t>WYTWARZANIE I ZAOPATRYWANIE W ENERGIĘ</t>
  </si>
  <si>
    <t>ELEKTRYCZNĄ, GAZ I WODĘ</t>
  </si>
  <si>
    <t>TURYSTYKA</t>
  </si>
  <si>
    <t>DZIAŁALNOŚĆ USŁUGOWA</t>
  </si>
  <si>
    <t xml:space="preserve">URZĘDY NACZELNYCH ORGANÓW WŁADZY </t>
  </si>
  <si>
    <t>PAŃSTWOWEJ, KONTROLI I OCHRONY</t>
  </si>
  <si>
    <t>PRAWA ORAZ SĄDOWNICTWA</t>
  </si>
  <si>
    <t xml:space="preserve">DOCHODY OD OSÓB PRAWNYCH, </t>
  </si>
  <si>
    <t>OD OSÓB FIZYCZNYCH I OD INNYCH JEDNOSTEK</t>
  </si>
  <si>
    <t>OBSŁUGA DŁUGU PUBLICZNEGO</t>
  </si>
  <si>
    <t xml:space="preserve">POMOC SPOŁECZNA </t>
  </si>
  <si>
    <t>POZOSTAŁE ZADANIA W ZAKRESIE</t>
  </si>
  <si>
    <t>POLITYKI SPOŁECZNEJ</t>
  </si>
  <si>
    <t>EDUKACYJNA OPIEKA WYCHOWAWCZA</t>
  </si>
  <si>
    <t>GOSPODARKA KOMUNALNA</t>
  </si>
  <si>
    <t xml:space="preserve"> I OCHRONA ŚRODOWISKA</t>
  </si>
  <si>
    <t>KULTURA I OCHRONA DZIEDZICTWA</t>
  </si>
  <si>
    <t>NARODOWEGO</t>
  </si>
  <si>
    <t>wynagrodzenia 
i pochodne od wynagrodzeń</t>
  </si>
  <si>
    <t>01008</t>
  </si>
  <si>
    <t>Melioracje wodne</t>
  </si>
  <si>
    <t>01030</t>
  </si>
  <si>
    <t>Izby rolnicze</t>
  </si>
  <si>
    <t>01095</t>
  </si>
  <si>
    <t>Dostarczanie paliw gazowych</t>
  </si>
  <si>
    <t>Lokalny transport zbiorowy</t>
  </si>
  <si>
    <t>Zadania w zakresie upowszechniania turystyki</t>
  </si>
  <si>
    <t>Plany zagospodarowania przestrzennego</t>
  </si>
  <si>
    <t>Opracowania geodezyjne i kartograficzne</t>
  </si>
  <si>
    <t>Rady gmin (miast i miast na prawach powiatu)</t>
  </si>
  <si>
    <t>Komendy powiatowe Policji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</si>
  <si>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</si>
  <si>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</si>
  <si>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</si>
  <si>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</si>
  <si>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>Rezerwy ogólne i celowe</t>
  </si>
  <si>
    <t>Oddziały przedszkolne w szkołach podstawowych</t>
  </si>
  <si>
    <t>Przedszkola specjalne</t>
  </si>
  <si>
    <t xml:space="preserve"> </t>
  </si>
  <si>
    <t>Dowożenie uczniów do szkół</t>
  </si>
  <si>
    <t>Dokształcanie i doskonalenie nauczycieli</t>
  </si>
  <si>
    <t>Programy polityki zdrowotnej</t>
  </si>
  <si>
    <t>Zwalczanie narkomanii</t>
  </si>
  <si>
    <t>Przeciwdziałanie alkoholizmowi</t>
  </si>
  <si>
    <t xml:space="preserve">Zasiłki i pomoc w naturze oraz składki na </t>
  </si>
  <si>
    <t>ubezpieczenia emerytalne i rentowe</t>
  </si>
  <si>
    <t>Dodatki mieszkaniowe</t>
  </si>
  <si>
    <t>Usługi opiekuńcze i specjalistyczne</t>
  </si>
  <si>
    <t>usługi opiekuńcze</t>
  </si>
  <si>
    <t>Żłobki</t>
  </si>
  <si>
    <t>Kolonie i obozy oraz inne formy wypoczynku dzieci</t>
  </si>
  <si>
    <t>i młodzieży szkolnej, a także szkolenia młodzieży</t>
  </si>
  <si>
    <t>Pomoc materialna dla uczniów</t>
  </si>
  <si>
    <t>Ochotnicze Hufce Pracy</t>
  </si>
  <si>
    <t>GOSPODARKA KOMUNALNA I OCHRONA</t>
  </si>
  <si>
    <t>ŚRODOWISKA</t>
  </si>
  <si>
    <t>Oczyszczanie miast i wsi</t>
  </si>
  <si>
    <t>Oświetlenie ulic, placów i dróg</t>
  </si>
  <si>
    <t>Wpływy i wydatki związane z gromadzeniem</t>
  </si>
  <si>
    <t>środków z opłat produktowych</t>
  </si>
  <si>
    <t>Biblioteki</t>
  </si>
  <si>
    <t>Ochrona zabytków i opieka nad zabytkami</t>
  </si>
  <si>
    <t>Zadania w zakresie kultury fizycznej i sportu</t>
  </si>
  <si>
    <t>URZĘDY NACZELNYCH ORGANÓW WŁADZY</t>
  </si>
  <si>
    <t xml:space="preserve">PAŃSTWOWEJ, KONTROLI I OCHRONY </t>
  </si>
  <si>
    <t>Świadczenia rodzinne, zaliczka alimentacyjna</t>
  </si>
  <si>
    <t xml:space="preserve">oraz składki na ubezpieczenia emerytalne i rentowe </t>
  </si>
  <si>
    <t>z ubezpieczenia społecznego</t>
  </si>
  <si>
    <t xml:space="preserve">Składki na ubezpieczenia zdrowotne opłacane za osoby </t>
  </si>
  <si>
    <t>pobierające niektóre świadczenia z pomocy społecznej,</t>
  </si>
  <si>
    <t xml:space="preserve">niektóre świadczenia rodzinne oraz za osoby </t>
  </si>
  <si>
    <t>uczestniczące w zajęciach w centrum integracji społecznej</t>
  </si>
  <si>
    <t>Usługi opiekuńcze i specjalistyczne usługi</t>
  </si>
  <si>
    <t>opiekuńcze</t>
  </si>
  <si>
    <t>Wykonanie</t>
  </si>
  <si>
    <t>Realizacja                                     3:2</t>
  </si>
  <si>
    <t>Realizacja                  4:3</t>
  </si>
  <si>
    <t xml:space="preserve">Wykonanie </t>
  </si>
  <si>
    <t>0580</t>
  </si>
  <si>
    <t>Wpływy ze zwrotów dotacji wykorzystanych niezgodnie z przeznaczeniem lub pobranych w nadmiernej wysokości</t>
  </si>
  <si>
    <t>Grzywny i inne kary pieniężne od osób prawnych i innych jednostek organizacyjnych</t>
  </si>
  <si>
    <t>0979</t>
  </si>
  <si>
    <t xml:space="preserve">Dotacje rozwojowe oraz środki na finansowanie Wspólnej Polityki Rolnej </t>
  </si>
  <si>
    <t>Wpłata do budżetu nadwyżki środków obrotowych przez zakład budżetowy</t>
  </si>
  <si>
    <t>2370</t>
  </si>
  <si>
    <t xml:space="preserve">     d) na zadania realizowane przez gminę wspólnie w drodze umów lub porozumień </t>
  </si>
  <si>
    <t xml:space="preserve">          - z Europejskiego Funduszu Społecznego</t>
  </si>
  <si>
    <t>2460</t>
  </si>
  <si>
    <t>EDUKACJA OPIEKA WYCHOWAWCZA</t>
  </si>
  <si>
    <t>6208</t>
  </si>
  <si>
    <t>Dotacje rozwojowe</t>
  </si>
  <si>
    <t>Dotacje celowe otrzymane z powiatu na inwestycje i zakupy inwestycyjne realizowane na podstawie porozumień (umów) między jednostkami samorządu terytorialnego</t>
  </si>
  <si>
    <t xml:space="preserve">          - z Narodowego Centrum Kultury w Warszawie</t>
  </si>
  <si>
    <t xml:space="preserve">          - z STU Ergo Hestia SA</t>
  </si>
  <si>
    <t>Zarządzanie kryzysowe</t>
  </si>
  <si>
    <t>Stołówki szkolne</t>
  </si>
  <si>
    <t>Obiekty sportowe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</si>
  <si>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</si>
  <si>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 (związków gmin)</t>
  </si>
  <si>
    <t>Wpływy z rożnych dochodów</t>
  </si>
  <si>
    <t>2709</t>
  </si>
  <si>
    <t xml:space="preserve">          - z Województwa Zachodniopomorskiego</t>
  </si>
  <si>
    <t>Zasiłki i pomoc w naturze oraz składki na ubezpieczenie emerytalne i rentowe</t>
  </si>
  <si>
    <t>Realizacja                  6:5</t>
  </si>
  <si>
    <t xml:space="preserve">          - rozwojowe z Programu Operacyjnego Kapitał Ludzki, z tego:</t>
  </si>
  <si>
    <t xml:space="preserve">               ∙ ze środków pomocowych</t>
  </si>
  <si>
    <t xml:space="preserve">               ∙ z budżetu państwa na sfinansowanie wkładu własnego</t>
  </si>
  <si>
    <t xml:space="preserve">          - dotacje rozwojowe ze środków pomocowych</t>
  </si>
  <si>
    <t xml:space="preserve">        - z funduszy celowych, z tego:</t>
  </si>
  <si>
    <t xml:space="preserve">               ∙ z Gminnego Funduszu Ochrony Środowiska i Gospodarki Wodnej</t>
  </si>
  <si>
    <t xml:space="preserve">               ∙ z Wojewódzkiego Funduszu Ochrony Środowiska i Gospodarki Wodnej</t>
  </si>
  <si>
    <t xml:space="preserve">               ∙ z Powiatowego Funduszu Ochrony Środowiska i Gospodarki Wodnej</t>
  </si>
  <si>
    <t xml:space="preserve">          - z Polsko - Niemieckiej Współpracy Młodzieży</t>
  </si>
  <si>
    <t xml:space="preserve">         między jednostkami samorządu terytorialnego:</t>
  </si>
  <si>
    <t xml:space="preserve">         - dotacje rozwojowe z Programu Operacyjnego Kapitał Ludzki, z tego:</t>
  </si>
  <si>
    <t xml:space="preserve">               ∙ z budżetu państwa na dofinansowanie wkładu własnego</t>
  </si>
  <si>
    <t>Dotacje celowe otrzymane z budżetu państwa na zadania bieżące realizowane przez gminę na podstawie porozumień z organami administracji rządowej</t>
  </si>
  <si>
    <t>Grzywny i inne kary pieniężne od osób prawnych innych jednostek organizacyjnych</t>
  </si>
  <si>
    <t>Środki otrzymane od pozostałych jednostek zaliczanych do sektora finansów publicznych na realizację zadań bieżących jednostek zaliczanych do sektora finansów publicznych</t>
  </si>
  <si>
    <t xml:space="preserve">Pozostała działalność </t>
  </si>
  <si>
    <t>Pozostała pomoc</t>
  </si>
  <si>
    <t xml:space="preserve">     e) na zadania realizowane przez gminę w drodze umów lub porozumień </t>
  </si>
  <si>
    <t xml:space="preserve">         z organami administracji rządowej, z tego:</t>
  </si>
  <si>
    <t>Prywatyzacja</t>
  </si>
  <si>
    <t xml:space="preserve">     c) na zadania realizowane przez gminę na podstawie porozumień, z tego:</t>
  </si>
  <si>
    <t>0740</t>
  </si>
  <si>
    <t>Wpływy z dywidend</t>
  </si>
  <si>
    <t xml:space="preserve">1.1. Zestawienie wykonania dochodów budżetu Gminy Police </t>
  </si>
  <si>
    <t>1.1.1.2. Dochody związane z realizacją zadań własnych.</t>
  </si>
  <si>
    <t xml:space="preserve">1.1.1.3. Dochody związane z realizacją zadań z zakresu administracji rządowej i innych zadań zleconych ustawami.
</t>
  </si>
  <si>
    <t>1.1.1.4. Dochody związane z realizacja zadań wykonywanych na podstawie porozumień (umów) między jednostkami samorządu terytorialnego.</t>
  </si>
  <si>
    <t>1.1.1.5. Dochody związane z realizacją zadań wspólnych wykonywanych w drodze umów lub porozumień między jednostkami samorządu terytorialnego.</t>
  </si>
  <si>
    <t>1.1.1.6. Dochody związane z realizacją zadań wykonywanych w drodze umów lub porozumień  między organami administracji rządowej.</t>
  </si>
  <si>
    <t xml:space="preserve">Świadczenia rodzinne, zaliczka alimentacyjna oraz składki na </t>
  </si>
  <si>
    <t>ubezpieczenia emerytalne i rentowe z ubezpieczenia społecznego</t>
  </si>
  <si>
    <t>1.1.1.7. Dochody podlegające przekazaniu do budżetu państwa.</t>
  </si>
  <si>
    <t>1.1.2. Zestawienie wykonania dochodów w układzie rodzajowym.</t>
  </si>
  <si>
    <t>1.2.1. Zestawienie zbiorcze według działów klasyfikacji budżetowej.</t>
  </si>
  <si>
    <t>1.1.1. Zestawienie wykonania dochodów budżetu Gminy Police według działów, rozdziałów i paragrafów.</t>
  </si>
  <si>
    <t>1.2.2. Zestawienie wydatków związanych z realizacją zadań własnych według działów i rozdziałów klasyfikacji budżetowej.</t>
  </si>
  <si>
    <t xml:space="preserve">         według działów i rozdziałów klasyfikacji budżetowej.</t>
  </si>
  <si>
    <t>1.2.4. Zestawienie wydatków związanych z realizacją zadań wykonywanych na podstawie porozumień (umów) między jednostkami samorządu terytorialnego
          według działów i rozdziałów klasyfikacji budżetowej.</t>
  </si>
  <si>
    <t>1.2.5. Zestawienie wydatków na pomoc finansową dla województwa zachodniopomorskiego według działów i rozdziałów klasyfikacji budżetowej.</t>
  </si>
  <si>
    <t>1.2.6. Zestawienie wydatków związanych z realizacją zadań wspólnych wykonywanych w drodze umów lub porozumień między jednostkami samorządu terytorialnego</t>
  </si>
  <si>
    <t>1.2.7. Zestawienie wydatków związanych z pomocą finansową dla powiatu polickiego według działów i rozdziałów klasyfikacji budżetowej.</t>
  </si>
  <si>
    <t>1.2.8. Zestawienie wydatków związanych z realizacją zadań wykonywanych w drodze umów lub porozumień z organami administracji rządowej</t>
  </si>
  <si>
    <t>Dział 921 rozdział 92109</t>
  </si>
  <si>
    <t>Poz.</t>
  </si>
  <si>
    <t>Nazwa jednostki pomocniczej</t>
  </si>
  <si>
    <t>Realizacja
 4:3</t>
  </si>
  <si>
    <t>wynagrodzenia 
i pochodne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</si>
  <si>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</si>
  <si>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</si>
  <si>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</si>
  <si>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</si>
  <si>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</si>
  <si>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</si>
  <si>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Gryfitów                            (Nr 5)</t>
  </si>
  <si>
    <t>Księcia Bogusława X       (Nr 6)</t>
  </si>
  <si>
    <t>Anny Jagiellonki               (Nr 7)</t>
  </si>
  <si>
    <t>SOŁECTWA RAZEM</t>
  </si>
  <si>
    <t>Dębostrów</t>
  </si>
  <si>
    <t>Drogoradz</t>
  </si>
  <si>
    <r>
      <t>Niekłończyca</t>
    </r>
    <r>
      <rPr>
        <vertAlign val="superscript"/>
        <sz val="9"/>
        <rFont val="Arial CE"/>
        <family val="0"/>
      </rPr>
      <t>1)</t>
    </r>
  </si>
  <si>
    <t>Pilchowo</t>
  </si>
  <si>
    <r>
      <t>Przęsocin</t>
    </r>
    <r>
      <rPr>
        <vertAlign val="superscript"/>
        <sz val="9"/>
        <rFont val="Arial CE"/>
        <family val="0"/>
      </rPr>
      <t>1)</t>
    </r>
  </si>
  <si>
    <t>Siedlice</t>
  </si>
  <si>
    <t>Tanowo</t>
  </si>
  <si>
    <t>Tatynia</t>
  </si>
  <si>
    <t>Trzebież</t>
  </si>
  <si>
    <r>
      <t>Trzeszczyn</t>
    </r>
    <r>
      <rPr>
        <vertAlign val="superscript"/>
        <sz val="9"/>
        <rFont val="Arial CE"/>
        <family val="0"/>
      </rPr>
      <t>1)</t>
    </r>
  </si>
  <si>
    <t>Uniemyśl</t>
  </si>
  <si>
    <t>Wieńkowo</t>
  </si>
  <si>
    <t xml:space="preserve">          nienależące do sektora finansów publicznych.</t>
  </si>
  <si>
    <t>Realizacja
6:5</t>
  </si>
  <si>
    <t xml:space="preserve">Polskie Towarzystwo Turystyczno Krajoznawcze </t>
  </si>
  <si>
    <t>Regionalny Oddział Szczeciński im. Stefana Kaczmarka</t>
  </si>
  <si>
    <t>Polskie Towarzystwo Turystyczno-Krajoznawcze Oddział</t>
  </si>
  <si>
    <t>Zachodniopomorski w Szczecinie</t>
  </si>
  <si>
    <t>Stowarzyszenie Przyjaciół Ziemi Polickiej "Skarb"</t>
  </si>
  <si>
    <t>Zadania w zakresie ochrony zdrowia</t>
  </si>
  <si>
    <t xml:space="preserve"> - w zakresie profilaktyki i rozwiązywania problemów alkoholowych</t>
  </si>
  <si>
    <t>Polickie Stowarzyszenie Abstynentów</t>
  </si>
  <si>
    <t>"Ostoja" w Policach</t>
  </si>
  <si>
    <t xml:space="preserve"> - w zakresie promocji ochrony zdrowia, rehabilitacji społecznej i leczniczej oraz profilaktyki zdrowotne</t>
  </si>
  <si>
    <t>Towarzystwo Przyjaciół Dzieci Zachodniopomorskie</t>
  </si>
  <si>
    <t>Koło Pomocy Chorym na Fenyloketonurię</t>
  </si>
  <si>
    <t>Stowarzyszenie Hospicjum Królowej Apostołów</t>
  </si>
  <si>
    <t>Polskie Stowarzyszenie Diabetyków</t>
  </si>
  <si>
    <t>Zachodniopomorski Zarząd Wojewódzki</t>
  </si>
  <si>
    <t>Koło w Policach</t>
  </si>
  <si>
    <t>Fundacja Zachodniopomorskie Hospicjum dla Dzieci</t>
  </si>
  <si>
    <t>Hospicjum św. Jana Ewangelisty</t>
  </si>
  <si>
    <t>Zadania w zakresie pomocy społecznej</t>
  </si>
  <si>
    <t xml:space="preserve"> - ośrodki wsparcia</t>
  </si>
  <si>
    <t>Polskie Stowarzyszenie na Rzecz Osób z Upośledzeniem</t>
  </si>
  <si>
    <t xml:space="preserve">Umysłowym Koło Terenowe w Policach </t>
  </si>
  <si>
    <t>Prowadzenie Środowiskowego Domu Samopomocy</t>
  </si>
  <si>
    <t xml:space="preserve"> - pozostała działalność</t>
  </si>
  <si>
    <t>Zachodniopomorskie Centrum Pomocy Bliźniemu</t>
  </si>
  <si>
    <t xml:space="preserve">Monar - Markot </t>
  </si>
  <si>
    <t xml:space="preserve">Dom Samotnych Matek z Dziećmi </t>
  </si>
  <si>
    <t>Pozostałe</t>
  </si>
  <si>
    <t>Zadania w zakresie polityki społecznej</t>
  </si>
  <si>
    <t>Polska Inicjatywa Społeczna</t>
  </si>
  <si>
    <t>Polski Związek Emerytów, Rencistów i Inwalidów Zarząd Oddziału Rejonowego w Policach</t>
  </si>
  <si>
    <t>Zadania w zakresie edukacyjnej opieki wychowawczej</t>
  </si>
  <si>
    <t xml:space="preserve"> - organizacja wypoczynku dzieci i młodzieży szkolnej</t>
  </si>
  <si>
    <t>Parafia Rzymskokatolicka pw. św. Kazimierza</t>
  </si>
  <si>
    <t>w Policach</t>
  </si>
  <si>
    <t>Związek Harcerstwa Polskiego</t>
  </si>
  <si>
    <t>Chorągwia Zachodniopomorska</t>
  </si>
  <si>
    <t>Towarzystwo Przyjaciół Dzieci</t>
  </si>
  <si>
    <t>Zachodniopomorski Oddział Regionalny</t>
  </si>
  <si>
    <t>Związek Harcerstwa Rzeczypospolitej</t>
  </si>
  <si>
    <t>Okręg Północno - Zachodni ZHR</t>
  </si>
  <si>
    <t xml:space="preserve">Towarzystwo Przyjaciół Dzieci Zachodniopomorski </t>
  </si>
  <si>
    <t xml:space="preserve"> Oddział Regionalny </t>
  </si>
  <si>
    <t>Zadania w zakresie kultury i ochrony dziedzictwa narodowego</t>
  </si>
  <si>
    <t xml:space="preserve"> - w zakresie ochrony i konserwacji zabytków</t>
  </si>
  <si>
    <t>Parafia Rzymskokatolicka pw. Wniebowzięcia NMP</t>
  </si>
  <si>
    <t>Parafia Rzymskokatolicka pw. Podwyższenia Krzyża</t>
  </si>
  <si>
    <t>Parafia Rzymskokatolicka pw. Piotra i Pawła</t>
  </si>
  <si>
    <t xml:space="preserve">Parafia Rzymskokatolicka pw. Niepokalanego Poczęcia </t>
  </si>
  <si>
    <t>NMP</t>
  </si>
  <si>
    <t xml:space="preserve"> - w  zakresie kultury i sztuki</t>
  </si>
  <si>
    <t>Polickie Towarzystwo Strzeleckie i Miłośników</t>
  </si>
  <si>
    <t>Broni Dawnej "Grajcar"</t>
  </si>
  <si>
    <t>Regionalne Stowarzyszenie Literacko-Artystyczne</t>
  </si>
  <si>
    <t>Stowarzyszenie na Rzecz Osób Niepełnosprawnych</t>
  </si>
  <si>
    <t>AMICUS</t>
  </si>
  <si>
    <t>Policki Uniwersytet Trzeciego Wieku</t>
  </si>
  <si>
    <t xml:space="preserve">Klub Piłkarski Police </t>
  </si>
  <si>
    <t>Polickie Stowarzyszenie Piłki Siatkowej</t>
  </si>
  <si>
    <t>LKS "Rybak" w Trzebieży</t>
  </si>
  <si>
    <t>AKS "Promień" w Policach</t>
  </si>
  <si>
    <t>Nauczycielski Klub Szachowy</t>
  </si>
  <si>
    <t>"Śmiały" w Policach</t>
  </si>
  <si>
    <t>TKKF "Tytan" w Policach</t>
  </si>
  <si>
    <t>UKL "Ósemka" w Policach</t>
  </si>
  <si>
    <t>UKS "Chemiczek" w Policach</t>
  </si>
  <si>
    <t>UKS "Activ" w Policach</t>
  </si>
  <si>
    <t>UKS "Trójka" w Policach</t>
  </si>
  <si>
    <t>IUKP "Wodnik" w Policach</t>
  </si>
  <si>
    <t>UKŻ "Bras" w Policach</t>
  </si>
  <si>
    <t xml:space="preserve">UKS "Błyskawica" w Policach </t>
  </si>
  <si>
    <t>UKS "Fala" w Trzebieży</t>
  </si>
  <si>
    <t>UKS Champion w Policach</t>
  </si>
  <si>
    <t>Stowarzyszenie Klub Karate  KAMIKAZE</t>
  </si>
  <si>
    <t>Klub Aikido "Shugyo"</t>
  </si>
  <si>
    <t>x</t>
  </si>
  <si>
    <t>ręcznie</t>
  </si>
  <si>
    <t xml:space="preserve">1.4.2. Dotacje celowe na zadania własne Gminy realizowane przez podmioty </t>
  </si>
  <si>
    <t>DOTACJE PODMIOTOWE</t>
  </si>
  <si>
    <t xml:space="preserve"> - Miejski Ośrodek Kultury w Policach, z tego na:</t>
  </si>
  <si>
    <t xml:space="preserve">    - działalność bieżącą:</t>
  </si>
  <si>
    <t xml:space="preserve"> - Biblioteka im. M. Skłodowskiej-Curie</t>
  </si>
  <si>
    <t xml:space="preserve">   w Policach, z tego na:</t>
  </si>
  <si>
    <t xml:space="preserve">    - działalność bieżącą</t>
  </si>
  <si>
    <t>DOTACJE CELOWE</t>
  </si>
  <si>
    <t xml:space="preserve"> - Dotacja dla Gminy Miasta Szczecin</t>
  </si>
  <si>
    <t xml:space="preserve">   z tytułu uczęszczania dzieci z Gminy Police</t>
  </si>
  <si>
    <t xml:space="preserve">   do przedszkoli niepublicznych w Szczecinie</t>
  </si>
  <si>
    <t xml:space="preserve">   do Przedszkola Specjalnego nr 21 w Szczecinie</t>
  </si>
  <si>
    <t xml:space="preserve"> - Dotacja dla Gminy Miasta Szczecin                                                                          </t>
  </si>
  <si>
    <t xml:space="preserve">    na działania profilaktyczne dla osób </t>
  </si>
  <si>
    <t xml:space="preserve">    zagrożonych uzależnieniem od alkoholu</t>
  </si>
  <si>
    <t xml:space="preserve">    - działalność inwestycyjną:</t>
  </si>
  <si>
    <t>1.4.3. Pozostałe dotacje na zadania publiczne.</t>
  </si>
  <si>
    <t>Nazwa zadania</t>
  </si>
  <si>
    <t>1.</t>
  </si>
  <si>
    <t>Studium wykonalności dla obwodnicy zachodniej miasta Szczecina i przeprawy przez Odrę:</t>
  </si>
  <si>
    <t>(dotacja na wydatki bieżące)</t>
  </si>
  <si>
    <t>2.</t>
  </si>
  <si>
    <t>Częściowa modernizacja ciągów pieszo-jezdnych                w ul. Piastów w Policach:</t>
  </si>
  <si>
    <t>(dotacja na wydatki inwestycyjne)</t>
  </si>
  <si>
    <t>Remont pływalni, a w szczególności remont basenu:</t>
  </si>
  <si>
    <t>1.4.4. Dotacje celowe na pomoc finansową 
       dla województwa zachodniopomorskiego</t>
  </si>
  <si>
    <t>1.4.5. Dotacje celowe na pomoc finansową 
       dla powiatu polickiego</t>
  </si>
  <si>
    <t>Umysłowym Koło Terenowe w Policach</t>
  </si>
  <si>
    <t>Fundacja Pomocy Chorym na Zanik Mięśni</t>
  </si>
  <si>
    <t>Polski Związek Niewidomych</t>
  </si>
  <si>
    <t>Okręg Zachodniopomorski Koło w Policach</t>
  </si>
  <si>
    <t>"Polskie Amazonki"</t>
  </si>
  <si>
    <t>Polski Związek Głuchych Oddz. Zachodniopomorski</t>
  </si>
  <si>
    <t>"Amicus"</t>
  </si>
  <si>
    <t>Polski Związek Głuchych Centrum Diagnozy i Rehabilitacji</t>
  </si>
  <si>
    <t>Dzieci i Młodzieży oraz Osób Dorosłych z Uszkodzonym</t>
  </si>
  <si>
    <t>Słuchem im. M. Góralówny</t>
  </si>
  <si>
    <t>1.3. Wydatki jednostek pomocniczych.</t>
  </si>
  <si>
    <t>1.4.1. Dotacje dla zakładów budżetowych.</t>
  </si>
  <si>
    <t>Realizacja</t>
  </si>
  <si>
    <t>6:5</t>
  </si>
  <si>
    <t>Zakład Gospodarki Komunalnej</t>
  </si>
  <si>
    <t>i Mieszkaniowej, z tego na:</t>
  </si>
  <si>
    <t>a) eksploatację i remonty budynków</t>
  </si>
  <si>
    <t xml:space="preserve">    komunalnych</t>
  </si>
  <si>
    <t>b) wydatki inwestycyjne</t>
  </si>
  <si>
    <t xml:space="preserve">c) wydatki inwestycyjne </t>
  </si>
  <si>
    <t>Zakład Wodociągów i Kanalizacji</t>
  </si>
  <si>
    <t xml:space="preserve"> z tego na:</t>
  </si>
  <si>
    <t xml:space="preserve">a) wydatki inwestycyjne </t>
  </si>
  <si>
    <t xml:space="preserve">Zakład Odzysku i Składowania Odpadów </t>
  </si>
  <si>
    <t>Komunalnych, z tego na:</t>
  </si>
  <si>
    <t>Szkoła Podstawowa nr 1, z tego na:</t>
  </si>
  <si>
    <t>działalność podstawową</t>
  </si>
  <si>
    <t>klasy "0"</t>
  </si>
  <si>
    <t>dokształcanie i doskonalenie nauczycieli</t>
  </si>
  <si>
    <t>pomoc materialna dla uczniów</t>
  </si>
  <si>
    <t>Szkoła Podstawowa nr 2, z tego na:</t>
  </si>
  <si>
    <t>Szkoła Podstawowa nr 3, z tego na:</t>
  </si>
  <si>
    <t>wydatki inwestycyjne</t>
  </si>
  <si>
    <t>Szkoła Podstawowa nr 6, z tego na:</t>
  </si>
  <si>
    <t>stołówki szkolne</t>
  </si>
  <si>
    <t>pomoc społeczna - pozostała działalność</t>
  </si>
  <si>
    <t>Szkoła Podstawowa nr 8, z tego na:</t>
  </si>
  <si>
    <t>Szkoła Podstawowa w Tanowie, z tego na:</t>
  </si>
  <si>
    <t>Szkoła Podstawowa w Trzebieży, z tego na:</t>
  </si>
  <si>
    <t>Przedszkole Publiczne nr 1,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</si>
  <si>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</si>
  <si>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</si>
  <si>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</si>
  <si>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</si>
  <si>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</si>
  <si>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</si>
  <si>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</si>
  <si>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</si>
  <si>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Gimnazjum nr 1, z tego na:</t>
  </si>
  <si>
    <t>Gimnazjum nr 2, z tego na:</t>
  </si>
  <si>
    <t>Gimnazjum nr 3, z tego na:</t>
  </si>
  <si>
    <t>Gimnazjum nr 4, z tego na:</t>
  </si>
  <si>
    <t>Gimnazjum w Trzebieży, z tego na:</t>
  </si>
  <si>
    <t>Żłobek</t>
  </si>
  <si>
    <t>działalność podstawowa</t>
  </si>
  <si>
    <t xml:space="preserve">     l ) opłata za wydawanie zezwoleń na sprzedaż alkoholu</t>
  </si>
  <si>
    <t>POZOSTAŁE ZADANIE W ZAKRESIE POLITYKI SPOŁECZNEJ</t>
  </si>
  <si>
    <t>a) 68.912 zł - Uchwałą nr XXII/182/08 Rady Miejskiej w Policach z dnia 29.04.2008 r.</t>
  </si>
  <si>
    <t>b) 14.300 zł - Zarządzeniem Burmistrza Polic nr 87/08 z dnia 30.04.2008 r. - środki pochodzą z rezerwy celowej przeznaczonej na nagrody w  konkursie "Najestetyczniejsze Sołectwo Gminy Police" (nagrody otrzymały: Sołectwo Pilchowo - 7.865 zł, Sołectwo Tanowo - 4.290 zł oraz Sołectwo Trzeszczyn - 2.145 zł)</t>
  </si>
  <si>
    <t>d) 1.750 zł - Zarządzeniem Burmistrza Polic nr 200/08 z dnia 11.09.2008 r. - środki pochodzą z rezerwy ogólnej z przeznaczeniem dla Sołectwa Uniemyśl na remont uszkodzonego ogrodzenia.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</si>
  <si>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</si>
  <si>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</si>
  <si>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</si>
  <si>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</si>
  <si>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</si>
  <si>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</si>
  <si>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</si>
  <si>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</si>
  <si>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</si>
  <si>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</si>
  <si>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</si>
  <si>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</si>
  <si>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</si>
  <si>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</si>
  <si>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</si>
  <si>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</si>
  <si>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</si>
  <si>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  b) na zadania z zakresu administracji rządowej</t>
  </si>
  <si>
    <t xml:space="preserve">         oraz inne zlecone ustawami, z tego:</t>
  </si>
  <si>
    <t>1.1.1.1. Ogółem według działów.</t>
  </si>
  <si>
    <t>Stopień realizacji
4:3</t>
  </si>
  <si>
    <t>11</t>
  </si>
  <si>
    <t>12</t>
  </si>
  <si>
    <t>1.2. Zestawienie wykonania wydatków budżetu Gminy Police.</t>
  </si>
  <si>
    <t>według działów i rozdziałów klasyfikacji budżetowej.</t>
  </si>
  <si>
    <t>1.2.3.    Zestawienie wydatków związanych z realizacją zadań z zakresu administracji rządowej oraz innych zadań zleconych ustawami</t>
  </si>
  <si>
    <t>Stopień realizacji
5:4</t>
  </si>
  <si>
    <t>Zadania w zakresie kultury fizycznej 
i sportu</t>
  </si>
  <si>
    <t>d) utrzymanie cmentarzy</t>
  </si>
  <si>
    <t>c) 866 zł - Uchwałą nr XXVII/213/08 Rady Miejskiej w Policach z dnia 26.08.2008 r. - zwrot poniesionych przez Osiedle Nr 5 (Gryfitów) kosztów na usunięcie szkody w Klubie Seniora, powstałej w wyniku awarii kanalizacji (na konto Gminy wpłynęło odszkodowanie za wymienioną szkodę).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</si>
</sst>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#,##0.00000"/>
  </numFmts>
  <fonts count="5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color indexed="10"/>
      <name val="Arial CE"/>
      <family val="0"/>
    </font>
    <font>
      <i/>
      <u val="single"/>
      <sz val="9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9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 CE"/>
      <family val="0"/>
    </font>
    <font>
      <sz val="11"/>
      <color indexed="10"/>
      <name val="Arial CE"/>
      <family val="0"/>
    </font>
    <font>
      <i/>
      <u val="single"/>
      <sz val="9"/>
      <color indexed="10"/>
      <name val="Arial CE"/>
      <family val="2"/>
    </font>
    <font>
      <b/>
      <sz val="9"/>
      <color indexed="10"/>
      <name val="Arial CE"/>
      <family val="0"/>
    </font>
    <font>
      <i/>
      <sz val="9"/>
      <name val="Arial CE"/>
      <family val="2"/>
    </font>
    <font>
      <b/>
      <sz val="11"/>
      <color indexed="10"/>
      <name val="Arial CE"/>
      <family val="0"/>
    </font>
    <font>
      <i/>
      <u val="single"/>
      <sz val="8"/>
      <name val="Arial CE"/>
      <family val="2"/>
    </font>
    <font>
      <b/>
      <sz val="10"/>
      <color indexed="10"/>
      <name val="Arial CE"/>
      <family val="2"/>
    </font>
    <font>
      <i/>
      <u val="single"/>
      <sz val="10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vertAlign val="superscript"/>
      <sz val="9"/>
      <name val="Arial CE"/>
      <family val="0"/>
    </font>
    <font>
      <sz val="9"/>
      <color indexed="8"/>
      <name val="Arial CE"/>
      <family val="2"/>
    </font>
    <font>
      <i/>
      <u val="single"/>
      <sz val="9"/>
      <color indexed="8"/>
      <name val="Arial CE"/>
      <family val="2"/>
    </font>
    <font>
      <sz val="11"/>
      <color indexed="48"/>
      <name val="Arial CE"/>
      <family val="2"/>
    </font>
    <font>
      <sz val="9"/>
      <color indexed="57"/>
      <name val="Arial CE"/>
      <family val="2"/>
    </font>
    <font>
      <sz val="9"/>
      <color indexed="4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57"/>
      <name val="Arial CE"/>
      <family val="2"/>
    </font>
    <font>
      <b/>
      <i/>
      <sz val="9"/>
      <name val="Arial CE"/>
      <family val="0"/>
    </font>
    <font>
      <b/>
      <i/>
      <u val="single"/>
      <sz val="9"/>
      <name val="Arial CE"/>
      <family val="0"/>
    </font>
    <font>
      <i/>
      <sz val="9"/>
      <color indexed="8"/>
      <name val="Arial CE"/>
      <family val="0"/>
    </font>
    <font>
      <b/>
      <i/>
      <sz val="9"/>
      <color indexed="10"/>
      <name val="Arial CE"/>
      <family val="0"/>
    </font>
    <font>
      <b/>
      <i/>
      <sz val="9"/>
      <color indexed="8"/>
      <name val="Arial CE"/>
      <family val="0"/>
    </font>
    <font>
      <b/>
      <i/>
      <u val="single"/>
      <sz val="9"/>
      <color indexed="8"/>
      <name val="Arial CE"/>
      <family val="0"/>
    </font>
    <font>
      <u val="single"/>
      <sz val="9"/>
      <name val="Arial CE"/>
      <family val="2"/>
    </font>
    <font>
      <u val="single"/>
      <sz val="9"/>
      <color indexed="10"/>
      <name val="Arial CE"/>
      <family val="2"/>
    </font>
    <font>
      <i/>
      <u val="single"/>
      <sz val="9"/>
      <color indexed="48"/>
      <name val="Arial CE"/>
      <family val="0"/>
    </font>
    <font>
      <b/>
      <sz val="9"/>
      <color indexed="8"/>
      <name val="Arial CE"/>
      <family val="2"/>
    </font>
    <font>
      <sz val="9"/>
      <name val="Arial"/>
      <family val="0"/>
    </font>
    <font>
      <u val="single"/>
      <sz val="9"/>
      <color indexed="8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43"/>
      <name val="Arial CE"/>
      <family val="0"/>
    </font>
    <font>
      <sz val="12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8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4" fillId="0" borderId="20" xfId="0" applyFont="1" applyBorder="1" applyAlignment="1">
      <alignment/>
    </xf>
    <xf numFmtId="0" fontId="1" fillId="2" borderId="23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2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2" borderId="26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10" fontId="11" fillId="0" borderId="28" xfId="23" applyNumberFormat="1" applyFont="1" applyBorder="1" applyAlignment="1">
      <alignment/>
    </xf>
    <xf numFmtId="0" fontId="10" fillId="0" borderId="28" xfId="0" applyFont="1" applyBorder="1" applyAlignment="1">
      <alignment/>
    </xf>
    <xf numFmtId="10" fontId="10" fillId="0" borderId="28" xfId="23" applyNumberFormat="1" applyFont="1" applyBorder="1" applyAlignment="1">
      <alignment/>
    </xf>
    <xf numFmtId="0" fontId="0" fillId="2" borderId="29" xfId="0" applyFont="1" applyFill="1" applyBorder="1" applyAlignment="1">
      <alignment horizontal="center"/>
    </xf>
    <xf numFmtId="10" fontId="11" fillId="2" borderId="30" xfId="23" applyNumberFormat="1" applyFont="1" applyFill="1" applyBorder="1" applyAlignment="1">
      <alignment/>
    </xf>
    <xf numFmtId="10" fontId="10" fillId="0" borderId="31" xfId="23" applyNumberFormat="1" applyFont="1" applyBorder="1" applyAlignment="1">
      <alignment/>
    </xf>
    <xf numFmtId="10" fontId="11" fillId="2" borderId="32" xfId="23" applyNumberFormat="1" applyFont="1" applyFill="1" applyBorder="1" applyAlignment="1">
      <alignment/>
    </xf>
    <xf numFmtId="0" fontId="16" fillId="0" borderId="0" xfId="0" applyFont="1" applyAlignment="1">
      <alignment/>
    </xf>
    <xf numFmtId="4" fontId="8" fillId="2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1" fontId="7" fillId="2" borderId="24" xfId="0" applyNumberFormat="1" applyFont="1" applyFill="1" applyBorder="1" applyAlignment="1">
      <alignment horizontal="center"/>
    </xf>
    <xf numFmtId="1" fontId="7" fillId="2" borderId="25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1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1" fontId="7" fillId="2" borderId="2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Continuous"/>
    </xf>
    <xf numFmtId="4" fontId="0" fillId="0" borderId="5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3" fontId="7" fillId="2" borderId="4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49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10" fillId="0" borderId="31" xfId="23" applyNumberFormat="1" applyFont="1" applyBorder="1" applyAlignment="1">
      <alignment/>
    </xf>
    <xf numFmtId="10" fontId="10" fillId="0" borderId="28" xfId="23" applyNumberFormat="1" applyFont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10" fontId="11" fillId="2" borderId="32" xfId="23" applyNumberFormat="1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 horizontal="centerContinuous"/>
    </xf>
    <xf numFmtId="49" fontId="0" fillId="0" borderId="20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21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10" fontId="10" fillId="0" borderId="28" xfId="23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10" fontId="4" fillId="0" borderId="37" xfId="23" applyNumberFormat="1" applyFont="1" applyFill="1" applyBorder="1" applyAlignment="1">
      <alignment horizontal="right" vertical="center" wrapText="1"/>
    </xf>
    <xf numFmtId="10" fontId="4" fillId="0" borderId="31" xfId="23" applyNumberFormat="1" applyFont="1" applyFill="1" applyBorder="1" applyAlignment="1">
      <alignment horizontal="right" vertical="center" wrapText="1"/>
    </xf>
    <xf numFmtId="10" fontId="4" fillId="0" borderId="28" xfId="23" applyNumberFormat="1" applyFont="1" applyFill="1" applyBorder="1" applyAlignment="1">
      <alignment horizontal="right" vertical="center" wrapText="1"/>
    </xf>
    <xf numFmtId="10" fontId="4" fillId="0" borderId="38" xfId="23" applyNumberFormat="1" applyFont="1" applyFill="1" applyBorder="1" applyAlignment="1">
      <alignment horizontal="right" vertical="center" wrapText="1"/>
    </xf>
    <xf numFmtId="10" fontId="4" fillId="0" borderId="39" xfId="23" applyNumberFormat="1" applyFont="1" applyFill="1" applyBorder="1" applyAlignment="1">
      <alignment horizontal="right" vertical="center" wrapText="1"/>
    </xf>
    <xf numFmtId="10" fontId="4" fillId="0" borderId="32" xfId="23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/>
    </xf>
    <xf numFmtId="10" fontId="4" fillId="0" borderId="40" xfId="23" applyNumberFormat="1" applyFont="1" applyFill="1" applyBorder="1" applyAlignment="1">
      <alignment horizontal="right" vertical="center" wrapText="1"/>
    </xf>
    <xf numFmtId="10" fontId="4" fillId="0" borderId="0" xfId="23" applyNumberFormat="1" applyFont="1" applyFill="1" applyBorder="1" applyAlignment="1">
      <alignment horizontal="right" vertical="center" wrapText="1"/>
    </xf>
    <xf numFmtId="10" fontId="4" fillId="0" borderId="41" xfId="23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49" fontId="4" fillId="3" borderId="4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0" fontId="1" fillId="0" borderId="30" xfId="23" applyNumberFormat="1" applyFont="1" applyFill="1" applyBorder="1" applyAlignment="1">
      <alignment horizontal="right" vertical="center" wrapText="1"/>
    </xf>
    <xf numFmtId="10" fontId="4" fillId="0" borderId="26" xfId="23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44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" xfId="0" applyFont="1" applyBorder="1" applyAlignment="1">
      <alignment horizontal="left"/>
    </xf>
    <xf numFmtId="4" fontId="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3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4" fillId="0" borderId="23" xfId="0" applyFont="1" applyBorder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33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 horizontal="center"/>
    </xf>
    <xf numFmtId="4" fontId="12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4" fontId="20" fillId="0" borderId="2" xfId="0" applyNumberFormat="1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" fontId="11" fillId="0" borderId="1" xfId="0" applyNumberFormat="1" applyFont="1" applyBorder="1" applyAlignment="1">
      <alignment/>
    </xf>
    <xf numFmtId="4" fontId="1" fillId="2" borderId="2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0" fillId="0" borderId="45" xfId="0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6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4" fontId="10" fillId="0" borderId="2" xfId="0" applyNumberFormat="1" applyFont="1" applyFill="1" applyBorder="1" applyAlignment="1">
      <alignment/>
    </xf>
    <xf numFmtId="0" fontId="11" fillId="2" borderId="27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 wrapText="1"/>
    </xf>
    <xf numFmtId="4" fontId="16" fillId="0" borderId="0" xfId="0" applyNumberFormat="1" applyFont="1" applyAlignment="1">
      <alignment/>
    </xf>
    <xf numFmtId="4" fontId="16" fillId="0" borderId="1" xfId="0" applyNumberFormat="1" applyFont="1" applyFill="1" applyBorder="1" applyAlignment="1">
      <alignment/>
    </xf>
    <xf numFmtId="4" fontId="16" fillId="0" borderId="1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4" fontId="26" fillId="0" borderId="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/>
    </xf>
    <xf numFmtId="4" fontId="16" fillId="0" borderId="7" xfId="0" applyNumberFormat="1" applyFont="1" applyBorder="1" applyAlignment="1">
      <alignment/>
    </xf>
    <xf numFmtId="4" fontId="16" fillId="0" borderId="12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9" fillId="0" borderId="1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4" fontId="16" fillId="0" borderId="33" xfId="0" applyNumberFormat="1" applyFont="1" applyFill="1" applyBorder="1" applyAlignment="1">
      <alignment/>
    </xf>
    <xf numFmtId="4" fontId="16" fillId="0" borderId="5" xfId="0" applyNumberFormat="1" applyFont="1" applyBorder="1" applyAlignment="1">
      <alignment/>
    </xf>
    <xf numFmtId="1" fontId="7" fillId="2" borderId="26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0" fontId="11" fillId="0" borderId="30" xfId="23" applyNumberFormat="1" applyFont="1" applyFill="1" applyBorder="1" applyAlignment="1">
      <alignment horizontal="right" vertical="center" wrapText="1"/>
    </xf>
    <xf numFmtId="4" fontId="0" fillId="0" borderId="12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4" fontId="4" fillId="0" borderId="1" xfId="0" applyNumberFormat="1" applyFont="1" applyBorder="1" applyAlignment="1">
      <alignment horizontal="centerContinuous" vertical="center"/>
    </xf>
    <xf numFmtId="4" fontId="4" fillId="0" borderId="7" xfId="0" applyNumberFormat="1" applyFont="1" applyBorder="1" applyAlignment="1">
      <alignment horizontal="centerContinuous" vertical="center"/>
    </xf>
    <xf numFmtId="0" fontId="4" fillId="0" borderId="9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4" fontId="4" fillId="0" borderId="3" xfId="0" applyNumberFormat="1" applyFont="1" applyBorder="1" applyAlignment="1">
      <alignment horizontal="centerContinuous" vertical="center"/>
    </xf>
    <xf numFmtId="4" fontId="4" fillId="0" borderId="12" xfId="0" applyNumberFormat="1" applyFont="1" applyBorder="1" applyAlignment="1">
      <alignment horizontal="centerContinuous" vertical="center"/>
    </xf>
    <xf numFmtId="0" fontId="4" fillId="0" borderId="22" xfId="0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0" fontId="7" fillId="2" borderId="35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51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4" fontId="12" fillId="0" borderId="7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12" fillId="0" borderId="44" xfId="0" applyNumberFormat="1" applyFont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" fontId="12" fillId="0" borderId="33" xfId="0" applyNumberFormat="1" applyFont="1" applyBorder="1" applyAlignment="1">
      <alignment vertical="center"/>
    </xf>
    <xf numFmtId="4" fontId="12" fillId="0" borderId="4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12" fillId="0" borderId="44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" fontId="12" fillId="0" borderId="13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12" fillId="0" borderId="7" xfId="0" applyNumberFormat="1" applyFont="1" applyFill="1" applyBorder="1" applyAlignment="1">
      <alignment horizontal="centerContinuous" vertical="center"/>
    </xf>
    <xf numFmtId="4" fontId="12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12" fillId="0" borderId="44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12" fillId="0" borderId="33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4" fontId="12" fillId="0" borderId="43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12" fillId="0" borderId="17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53" xfId="0" applyNumberFormat="1" applyFont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35" xfId="0" applyFont="1" applyBorder="1" applyAlignment="1">
      <alignment horizontal="right" vertical="center"/>
    </xf>
    <xf numFmtId="4" fontId="16" fillId="0" borderId="35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3" fontId="7" fillId="2" borderId="54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4" fontId="1" fillId="0" borderId="0" xfId="0" applyNumberFormat="1" applyFont="1" applyBorder="1" applyAlignment="1">
      <alignment horizontal="centerContinuous" vertical="center"/>
    </xf>
    <xf numFmtId="4" fontId="4" fillId="0" borderId="34" xfId="0" applyNumberFormat="1" applyFont="1" applyBorder="1" applyAlignment="1">
      <alignment horizontal="centerContinuous" vertical="center"/>
    </xf>
    <xf numFmtId="0" fontId="7" fillId="0" borderId="38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12" fillId="0" borderId="7" xfId="0" applyNumberFormat="1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4" fontId="16" fillId="0" borderId="34" xfId="0" applyNumberFormat="1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4" fontId="11" fillId="0" borderId="35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" fontId="4" fillId="0" borderId="7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0" borderId="17" xfId="0" applyNumberFormat="1" applyFont="1" applyBorder="1" applyAlignment="1">
      <alignment horizontal="right" vertical="center"/>
    </xf>
    <xf numFmtId="4" fontId="27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vertical="center"/>
    </xf>
    <xf numFmtId="4" fontId="21" fillId="0" borderId="35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4" fontId="20" fillId="0" borderId="5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4" fontId="19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55" xfId="0" applyNumberFormat="1" applyFont="1" applyBorder="1" applyAlignment="1">
      <alignment horizontal="right" vertical="center"/>
    </xf>
    <xf numFmtId="4" fontId="12" fillId="0" borderId="55" xfId="0" applyNumberFormat="1" applyFont="1" applyBorder="1" applyAlignment="1">
      <alignment vertical="center"/>
    </xf>
    <xf numFmtId="4" fontId="12" fillId="0" borderId="34" xfId="0" applyNumberFormat="1" applyFont="1" applyBorder="1" applyAlignment="1">
      <alignment horizontal="centerContinuous" vertical="center"/>
    </xf>
    <xf numFmtId="4" fontId="20" fillId="0" borderId="34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4" fontId="16" fillId="0" borderId="53" xfId="0" applyNumberFormat="1" applyFont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vertical="center"/>
    </xf>
    <xf numFmtId="4" fontId="0" fillId="0" borderId="56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4" fillId="0" borderId="44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/>
    </xf>
    <xf numFmtId="4" fontId="12" fillId="0" borderId="11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15" applyNumberFormat="1" applyFont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44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right" vertical="center"/>
    </xf>
    <xf numFmtId="3" fontId="4" fillId="0" borderId="53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3" fontId="4" fillId="0" borderId="3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1" fillId="2" borderId="4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/>
    </xf>
    <xf numFmtId="4" fontId="0" fillId="0" borderId="1" xfId="24" applyNumberFormat="1" applyFont="1" applyBorder="1" applyAlignment="1">
      <alignment wrapText="1"/>
    </xf>
    <xf numFmtId="4" fontId="4" fillId="0" borderId="14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47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44" xfId="0" applyNumberFormat="1" applyFont="1" applyFill="1" applyBorder="1" applyAlignment="1">
      <alignment horizontal="right" vertical="center"/>
    </xf>
    <xf numFmtId="4" fontId="4" fillId="0" borderId="2" xfId="15" applyNumberFormat="1" applyFont="1" applyBorder="1" applyAlignment="1">
      <alignment horizontal="right" vertical="center" wrapText="1"/>
    </xf>
    <xf numFmtId="4" fontId="4" fillId="0" borderId="44" xfId="0" applyNumberFormat="1" applyFont="1" applyFill="1" applyBorder="1" applyAlignment="1">
      <alignment horizontal="center" vertical="center"/>
    </xf>
    <xf numFmtId="4" fontId="4" fillId="0" borderId="47" xfId="0" applyNumberFormat="1" applyFont="1" applyBorder="1" applyAlignment="1">
      <alignment horizontal="right" vertical="center"/>
    </xf>
    <xf numFmtId="4" fontId="4" fillId="0" borderId="8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43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11" fillId="0" borderId="20" xfId="0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167" fontId="0" fillId="0" borderId="0" xfId="15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/>
    </xf>
    <xf numFmtId="4" fontId="27" fillId="0" borderId="35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4" xfId="0" applyFont="1" applyBorder="1" applyAlignment="1">
      <alignment/>
    </xf>
    <xf numFmtId="3" fontId="4" fillId="0" borderId="8" xfId="0" applyNumberFormat="1" applyFont="1" applyBorder="1" applyAlignment="1">
      <alignment/>
    </xf>
    <xf numFmtId="43" fontId="4" fillId="0" borderId="8" xfId="0" applyNumberFormat="1" applyFont="1" applyBorder="1" applyAlignment="1">
      <alignment horizontal="right" wrapText="1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43" fontId="4" fillId="0" borderId="7" xfId="0" applyNumberFormat="1" applyFont="1" applyBorder="1" applyAlignment="1">
      <alignment horizontal="right" wrapText="1"/>
    </xf>
    <xf numFmtId="0" fontId="4" fillId="0" borderId="3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3" fontId="4" fillId="0" borderId="14" xfId="0" applyNumberFormat="1" applyFont="1" applyBorder="1" applyAlignment="1">
      <alignment horizontal="right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/>
    </xf>
    <xf numFmtId="43" fontId="4" fillId="0" borderId="12" xfId="0" applyNumberFormat="1" applyFont="1" applyBorder="1" applyAlignment="1">
      <alignment horizontal="right" wrapText="1"/>
    </xf>
    <xf numFmtId="0" fontId="4" fillId="0" borderId="53" xfId="0" applyFont="1" applyBorder="1" applyAlignment="1">
      <alignment/>
    </xf>
    <xf numFmtId="0" fontId="10" fillId="0" borderId="5" xfId="0" applyFont="1" applyBorder="1" applyAlignment="1">
      <alignment/>
    </xf>
    <xf numFmtId="43" fontId="10" fillId="0" borderId="34" xfId="0" applyNumberFormat="1" applyFont="1" applyBorder="1" applyAlignment="1">
      <alignment horizontal="right" wrapText="1"/>
    </xf>
    <xf numFmtId="0" fontId="11" fillId="0" borderId="4" xfId="0" applyFont="1" applyBorder="1" applyAlignment="1">
      <alignment/>
    </xf>
    <xf numFmtId="3" fontId="11" fillId="0" borderId="6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7" fillId="2" borderId="5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3" fontId="7" fillId="2" borderId="51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41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3" borderId="2" xfId="19" applyFont="1" applyFill="1" applyBorder="1">
      <alignment/>
      <protection/>
    </xf>
    <xf numFmtId="4" fontId="4" fillId="0" borderId="8" xfId="23" applyNumberFormat="1" applyFont="1" applyFill="1" applyBorder="1" applyAlignment="1">
      <alignment horizontal="right" vertical="center" wrapText="1"/>
    </xf>
    <xf numFmtId="10" fontId="4" fillId="0" borderId="59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" fontId="4" fillId="0" borderId="7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10" fontId="4" fillId="0" borderId="4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3" borderId="14" xfId="19" applyNumberFormat="1" applyFont="1" applyFill="1" applyBorder="1" applyAlignment="1">
      <alignment horizontal="center"/>
      <protection/>
    </xf>
    <xf numFmtId="0" fontId="0" fillId="3" borderId="33" xfId="19" applyFont="1" applyFill="1" applyBorder="1">
      <alignment/>
      <protection/>
    </xf>
    <xf numFmtId="4" fontId="4" fillId="0" borderId="14" xfId="23" applyNumberFormat="1" applyFont="1" applyFill="1" applyBorder="1" applyAlignment="1">
      <alignment horizontal="right" vertical="center" wrapText="1"/>
    </xf>
    <xf numFmtId="4" fontId="12" fillId="0" borderId="14" xfId="0" applyNumberFormat="1" applyFont="1" applyBorder="1" applyAlignment="1">
      <alignment/>
    </xf>
    <xf numFmtId="10" fontId="4" fillId="0" borderId="60" xfId="0" applyNumberFormat="1" applyFont="1" applyBorder="1" applyAlignment="1">
      <alignment horizontal="right"/>
    </xf>
    <xf numFmtId="0" fontId="10" fillId="0" borderId="46" xfId="0" applyFont="1" applyBorder="1" applyAlignment="1">
      <alignment horizontal="center"/>
    </xf>
    <xf numFmtId="0" fontId="0" fillId="3" borderId="17" xfId="19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17" xfId="19" applyFont="1" applyBorder="1">
      <alignment/>
      <protection/>
    </xf>
    <xf numFmtId="4" fontId="4" fillId="0" borderId="12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49" fontId="4" fillId="3" borderId="8" xfId="19" applyNumberFormat="1" applyFont="1" applyFill="1" applyBorder="1" applyAlignment="1">
      <alignment horizontal="center"/>
      <protection/>
    </xf>
    <xf numFmtId="0" fontId="0" fillId="0" borderId="2" xfId="19" applyFont="1" applyFill="1" applyBorder="1">
      <alignment/>
      <protection/>
    </xf>
    <xf numFmtId="4" fontId="12" fillId="0" borderId="8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10" fontId="4" fillId="0" borderId="61" xfId="0" applyNumberFormat="1" applyFont="1" applyBorder="1" applyAlignment="1">
      <alignment horizontal="right"/>
    </xf>
    <xf numFmtId="49" fontId="4" fillId="3" borderId="7" xfId="19" applyNumberFormat="1" applyFont="1" applyFill="1" applyBorder="1" applyAlignment="1">
      <alignment horizontal="center"/>
      <protection/>
    </xf>
    <xf numFmtId="0" fontId="0" fillId="3" borderId="1" xfId="19" applyFont="1" applyFill="1" applyBorder="1">
      <alignment/>
      <protection/>
    </xf>
    <xf numFmtId="4" fontId="4" fillId="0" borderId="6" xfId="23" applyNumberFormat="1" applyFont="1" applyFill="1" applyBorder="1" applyAlignment="1">
      <alignment horizontal="right" vertical="center" wrapText="1"/>
    </xf>
    <xf numFmtId="4" fontId="12" fillId="0" borderId="6" xfId="0" applyNumberFormat="1" applyFont="1" applyBorder="1" applyAlignment="1">
      <alignment/>
    </xf>
    <xf numFmtId="10" fontId="4" fillId="0" borderId="62" xfId="0" applyNumberFormat="1" applyFont="1" applyBorder="1" applyAlignment="1">
      <alignment horizontal="right"/>
    </xf>
    <xf numFmtId="0" fontId="10" fillId="0" borderId="6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 horizontal="center" vertical="center"/>
    </xf>
    <xf numFmtId="0" fontId="10" fillId="0" borderId="5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10" fontId="11" fillId="0" borderId="62" xfId="0" applyNumberFormat="1" applyFont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2" borderId="23" xfId="0" applyFont="1" applyFill="1" applyBorder="1" applyAlignment="1">
      <alignment horizontal="center" vertical="center"/>
    </xf>
    <xf numFmtId="1" fontId="28" fillId="2" borderId="35" xfId="0" applyNumberFormat="1" applyFont="1" applyFill="1" applyBorder="1" applyAlignment="1">
      <alignment horizontal="center" vertical="center"/>
    </xf>
    <xf numFmtId="1" fontId="28" fillId="2" borderId="6" xfId="0" applyNumberFormat="1" applyFont="1" applyFill="1" applyBorder="1" applyAlignment="1">
      <alignment horizontal="center" vertical="center"/>
    </xf>
    <xf numFmtId="1" fontId="28" fillId="2" borderId="51" xfId="0" applyNumberFormat="1" applyFont="1" applyFill="1" applyBorder="1" applyAlignment="1">
      <alignment horizontal="center" vertical="center"/>
    </xf>
    <xf numFmtId="1" fontId="28" fillId="2" borderId="54" xfId="0" applyNumberFormat="1" applyFont="1" applyFill="1" applyBorder="1" applyAlignment="1">
      <alignment horizontal="center" vertical="center"/>
    </xf>
    <xf numFmtId="1" fontId="28" fillId="2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3" fontId="28" fillId="2" borderId="6" xfId="0" applyNumberFormat="1" applyFont="1" applyFill="1" applyBorder="1" applyAlignment="1">
      <alignment horizontal="center" vertical="center"/>
    </xf>
    <xf numFmtId="3" fontId="28" fillId="2" borderId="51" xfId="0" applyNumberFormat="1" applyFont="1" applyFill="1" applyBorder="1" applyAlignment="1">
      <alignment horizontal="center" vertical="center"/>
    </xf>
    <xf numFmtId="3" fontId="28" fillId="2" borderId="4" xfId="0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9" fontId="4" fillId="0" borderId="32" xfId="23" applyFont="1" applyFill="1" applyBorder="1" applyAlignment="1">
      <alignment horizontal="right" vertical="center" wrapText="1"/>
    </xf>
    <xf numFmtId="10" fontId="4" fillId="0" borderId="31" xfId="23" applyNumberFormat="1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30" xfId="21" applyFont="1" applyFill="1" applyBorder="1" applyAlignment="1">
      <alignment horizontal="center"/>
      <protection/>
    </xf>
    <xf numFmtId="0" fontId="0" fillId="0" borderId="34" xfId="0" applyFont="1" applyBorder="1" applyAlignment="1">
      <alignment horizontal="center"/>
    </xf>
    <xf numFmtId="0" fontId="0" fillId="0" borderId="28" xfId="21" applyFont="1" applyBorder="1" applyAlignment="1">
      <alignment horizontal="center"/>
      <protection/>
    </xf>
    <xf numFmtId="0" fontId="8" fillId="0" borderId="2" xfId="0" applyFont="1" applyBorder="1" applyAlignment="1">
      <alignment/>
    </xf>
    <xf numFmtId="167" fontId="8" fillId="0" borderId="2" xfId="15" applyNumberFormat="1" applyFont="1" applyBorder="1" applyAlignment="1">
      <alignment horizontal="right" wrapText="1"/>
    </xf>
    <xf numFmtId="192" fontId="8" fillId="0" borderId="2" xfId="15" applyNumberFormat="1" applyFont="1" applyBorder="1" applyAlignment="1">
      <alignment horizontal="right" vertical="center"/>
    </xf>
    <xf numFmtId="192" fontId="8" fillId="0" borderId="8" xfId="15" applyNumberFormat="1" applyFont="1" applyBorder="1" applyAlignment="1">
      <alignment horizontal="right" vertical="center"/>
    </xf>
    <xf numFmtId="192" fontId="8" fillId="0" borderId="17" xfId="15" applyNumberFormat="1" applyFont="1" applyBorder="1" applyAlignment="1">
      <alignment horizontal="right" vertical="center"/>
    </xf>
    <xf numFmtId="10" fontId="8" fillId="0" borderId="31" xfId="23" applyNumberFormat="1" applyFont="1" applyBorder="1" applyAlignment="1">
      <alignment/>
    </xf>
    <xf numFmtId="167" fontId="0" fillId="0" borderId="1" xfId="15" applyNumberFormat="1" applyFont="1" applyBorder="1" applyAlignment="1">
      <alignment horizontal="right" wrapText="1"/>
    </xf>
    <xf numFmtId="192" fontId="0" fillId="0" borderId="1" xfId="15" applyNumberFormat="1" applyFont="1" applyBorder="1" applyAlignment="1">
      <alignment horizontal="right" vertical="center"/>
    </xf>
    <xf numFmtId="192" fontId="0" fillId="0" borderId="7" xfId="15" applyNumberFormat="1" applyFont="1" applyBorder="1" applyAlignment="1">
      <alignment horizontal="right" vertical="center"/>
    </xf>
    <xf numFmtId="192" fontId="0" fillId="0" borderId="0" xfId="15" applyNumberFormat="1" applyFont="1" applyBorder="1" applyAlignment="1">
      <alignment horizontal="right" vertical="center"/>
    </xf>
    <xf numFmtId="10" fontId="0" fillId="0" borderId="28" xfId="23" applyNumberFormat="1" applyFont="1" applyBorder="1" applyAlignment="1">
      <alignment/>
    </xf>
    <xf numFmtId="167" fontId="0" fillId="0" borderId="2" xfId="15" applyNumberFormat="1" applyFont="1" applyBorder="1" applyAlignment="1">
      <alignment horizontal="right" wrapText="1"/>
    </xf>
    <xf numFmtId="192" fontId="0" fillId="0" borderId="2" xfId="15" applyNumberFormat="1" applyFont="1" applyBorder="1" applyAlignment="1">
      <alignment horizontal="right" vertical="center"/>
    </xf>
    <xf numFmtId="192" fontId="0" fillId="0" borderId="8" xfId="15" applyNumberFormat="1" applyFont="1" applyBorder="1" applyAlignment="1">
      <alignment horizontal="right" vertical="center"/>
    </xf>
    <xf numFmtId="192" fontId="0" fillId="0" borderId="17" xfId="15" applyNumberFormat="1" applyFont="1" applyBorder="1" applyAlignment="1">
      <alignment horizontal="right" vertical="center"/>
    </xf>
    <xf numFmtId="10" fontId="0" fillId="0" borderId="31" xfId="23" applyNumberFormat="1" applyFont="1" applyBorder="1" applyAlignment="1">
      <alignment/>
    </xf>
    <xf numFmtId="167" fontId="0" fillId="0" borderId="4" xfId="15" applyNumberFormat="1" applyFont="1" applyBorder="1" applyAlignment="1">
      <alignment horizontal="right" wrapText="1"/>
    </xf>
    <xf numFmtId="192" fontId="0" fillId="0" borderId="4" xfId="15" applyNumberFormat="1" applyFont="1" applyBorder="1" applyAlignment="1">
      <alignment horizontal="right" vertical="center"/>
    </xf>
    <xf numFmtId="192" fontId="0" fillId="0" borderId="6" xfId="15" applyNumberFormat="1" applyFont="1" applyBorder="1" applyAlignment="1">
      <alignment horizontal="right" vertical="center"/>
    </xf>
    <xf numFmtId="192" fontId="0" fillId="0" borderId="35" xfId="15" applyNumberFormat="1" applyFont="1" applyBorder="1" applyAlignment="1">
      <alignment horizontal="right" vertical="center"/>
    </xf>
    <xf numFmtId="10" fontId="0" fillId="0" borderId="30" xfId="23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18" applyNumberFormat="1" applyFont="1">
      <alignment/>
      <protection/>
    </xf>
    <xf numFmtId="0" fontId="0" fillId="0" borderId="0" xfId="18" applyFont="1">
      <alignment/>
      <protection/>
    </xf>
    <xf numFmtId="0" fontId="9" fillId="0" borderId="0" xfId="18" applyFont="1" applyAlignment="1">
      <alignment horizontal="centerContinuous"/>
      <protection/>
    </xf>
    <xf numFmtId="0" fontId="16" fillId="0" borderId="0" xfId="18" applyFont="1" applyAlignment="1">
      <alignment horizontal="centerContinuous"/>
      <protection/>
    </xf>
    <xf numFmtId="0" fontId="31" fillId="0" borderId="0" xfId="18" applyFont="1" applyAlignment="1">
      <alignment horizontal="centerContinuous"/>
      <protection/>
    </xf>
    <xf numFmtId="0" fontId="31" fillId="0" borderId="0" xfId="18" applyFont="1">
      <alignment/>
      <protection/>
    </xf>
    <xf numFmtId="0" fontId="32" fillId="0" borderId="0" xfId="18" applyFont="1" applyAlignment="1">
      <alignment horizontal="right" vertical="center"/>
      <protection/>
    </xf>
    <xf numFmtId="0" fontId="8" fillId="0" borderId="27" xfId="18" applyFont="1" applyBorder="1" applyAlignment="1">
      <alignment horizontal="center" vertical="center" wrapText="1"/>
      <protection/>
    </xf>
    <xf numFmtId="0" fontId="8" fillId="0" borderId="5" xfId="18" applyFont="1" applyBorder="1" applyAlignment="1">
      <alignment horizontal="center" vertical="center" wrapText="1"/>
      <protection/>
    </xf>
    <xf numFmtId="0" fontId="8" fillId="0" borderId="64" xfId="18" applyFont="1" applyBorder="1" applyAlignment="1">
      <alignment horizontal="center" vertical="center" wrapText="1"/>
      <protection/>
    </xf>
    <xf numFmtId="0" fontId="8" fillId="0" borderId="65" xfId="18" applyFont="1" applyBorder="1" applyAlignment="1">
      <alignment horizontal="center" vertical="center" wrapText="1"/>
      <protection/>
    </xf>
    <xf numFmtId="0" fontId="10" fillId="0" borderId="49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/>
      <protection/>
    </xf>
    <xf numFmtId="3" fontId="11" fillId="0" borderId="2" xfId="18" applyNumberFormat="1" applyFont="1" applyBorder="1" applyAlignment="1">
      <alignment horizontal="right"/>
      <protection/>
    </xf>
    <xf numFmtId="4" fontId="11" fillId="0" borderId="2" xfId="18" applyNumberFormat="1" applyFont="1" applyBorder="1" applyAlignment="1">
      <alignment horizontal="right"/>
      <protection/>
    </xf>
    <xf numFmtId="10" fontId="11" fillId="0" borderId="31" xfId="23" applyNumberFormat="1" applyFont="1" applyBorder="1" applyAlignment="1">
      <alignment/>
    </xf>
    <xf numFmtId="3" fontId="33" fillId="0" borderId="0" xfId="18" applyNumberFormat="1" applyFont="1">
      <alignment/>
      <protection/>
    </xf>
    <xf numFmtId="0" fontId="10" fillId="0" borderId="0" xfId="18" applyFont="1">
      <alignment/>
      <protection/>
    </xf>
    <xf numFmtId="0" fontId="0" fillId="0" borderId="20" xfId="18" applyFont="1" applyBorder="1" applyAlignment="1">
      <alignment horizontal="center"/>
      <protection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/>
      <protection/>
    </xf>
    <xf numFmtId="0" fontId="0" fillId="0" borderId="1" xfId="18" applyFont="1" applyBorder="1" applyAlignment="1">
      <alignment horizontal="right"/>
      <protection/>
    </xf>
    <xf numFmtId="4" fontId="0" fillId="0" borderId="7" xfId="18" applyNumberFormat="1" applyFont="1" applyBorder="1">
      <alignment/>
      <protection/>
    </xf>
    <xf numFmtId="0" fontId="0" fillId="0" borderId="41" xfId="18" applyFont="1" applyBorder="1">
      <alignment/>
      <protection/>
    </xf>
    <xf numFmtId="0" fontId="0" fillId="0" borderId="20" xfId="18" applyFont="1" applyBorder="1" applyAlignment="1">
      <alignment/>
      <protection/>
    </xf>
    <xf numFmtId="0" fontId="0" fillId="0" borderId="1" xfId="18" applyFont="1" applyBorder="1" applyAlignment="1">
      <alignment horizontal="center"/>
      <protection/>
    </xf>
    <xf numFmtId="3" fontId="0" fillId="0" borderId="1" xfId="18" applyNumberFormat="1" applyFont="1" applyBorder="1" applyAlignment="1">
      <alignment horizontal="right"/>
      <protection/>
    </xf>
    <xf numFmtId="4" fontId="0" fillId="0" borderId="1" xfId="18" applyNumberFormat="1" applyFont="1" applyBorder="1" applyAlignment="1">
      <alignment horizontal="right"/>
      <protection/>
    </xf>
    <xf numFmtId="0" fontId="16" fillId="0" borderId="1" xfId="18" applyFont="1" applyBorder="1">
      <alignment/>
      <protection/>
    </xf>
    <xf numFmtId="0" fontId="31" fillId="0" borderId="1" xfId="18" applyFont="1" applyBorder="1" applyAlignment="1">
      <alignment horizontal="center"/>
      <protection/>
    </xf>
    <xf numFmtId="3" fontId="31" fillId="0" borderId="1" xfId="18" applyNumberFormat="1" applyFont="1" applyBorder="1" applyAlignment="1">
      <alignment horizontal="right"/>
      <protection/>
    </xf>
    <xf numFmtId="4" fontId="31" fillId="0" borderId="7" xfId="18" applyNumberFormat="1" applyFont="1" applyBorder="1">
      <alignment/>
      <protection/>
    </xf>
    <xf numFmtId="10" fontId="31" fillId="0" borderId="28" xfId="23" applyNumberFormat="1" applyFont="1" applyBorder="1" applyAlignment="1">
      <alignment/>
    </xf>
    <xf numFmtId="3" fontId="34" fillId="0" borderId="0" xfId="18" applyNumberFormat="1" applyFont="1">
      <alignment/>
      <protection/>
    </xf>
    <xf numFmtId="3" fontId="35" fillId="0" borderId="0" xfId="18" applyNumberFormat="1" applyFont="1">
      <alignment/>
      <protection/>
    </xf>
    <xf numFmtId="0" fontId="16" fillId="0" borderId="2" xfId="18" applyFont="1" applyBorder="1">
      <alignment/>
      <protection/>
    </xf>
    <xf numFmtId="0" fontId="31" fillId="0" borderId="2" xfId="18" applyFont="1" applyBorder="1" applyAlignment="1">
      <alignment horizontal="center"/>
      <protection/>
    </xf>
    <xf numFmtId="3" fontId="31" fillId="0" borderId="2" xfId="18" applyNumberFormat="1" applyFont="1" applyBorder="1" applyAlignment="1">
      <alignment horizontal="right"/>
      <protection/>
    </xf>
    <xf numFmtId="4" fontId="31" fillId="0" borderId="8" xfId="18" applyNumberFormat="1" applyFont="1" applyBorder="1">
      <alignment/>
      <protection/>
    </xf>
    <xf numFmtId="10" fontId="31" fillId="0" borderId="31" xfId="23" applyNumberFormat="1" applyFont="1" applyBorder="1" applyAlignment="1">
      <alignment/>
    </xf>
    <xf numFmtId="0" fontId="10" fillId="0" borderId="50" xfId="18" applyFont="1" applyBorder="1" applyAlignment="1">
      <alignment horizontal="centerContinuous"/>
      <protection/>
    </xf>
    <xf numFmtId="0" fontId="36" fillId="0" borderId="1" xfId="18" applyFont="1" applyBorder="1" applyAlignment="1">
      <alignment horizontal="center"/>
      <protection/>
    </xf>
    <xf numFmtId="3" fontId="36" fillId="0" borderId="1" xfId="18" applyNumberFormat="1" applyFont="1" applyBorder="1" applyAlignment="1">
      <alignment horizontal="right"/>
      <protection/>
    </xf>
    <xf numFmtId="4" fontId="36" fillId="0" borderId="7" xfId="18" applyNumberFormat="1" applyFont="1" applyBorder="1">
      <alignment/>
      <protection/>
    </xf>
    <xf numFmtId="9" fontId="36" fillId="0" borderId="28" xfId="23" applyFont="1" applyBorder="1" applyAlignment="1">
      <alignment/>
    </xf>
    <xf numFmtId="0" fontId="10" fillId="0" borderId="49" xfId="18" applyFont="1" applyBorder="1" applyAlignment="1">
      <alignment horizontal="centerContinuous"/>
      <protection/>
    </xf>
    <xf numFmtId="0" fontId="36" fillId="0" borderId="2" xfId="18" applyFont="1" applyBorder="1" applyAlignment="1">
      <alignment horizontal="center"/>
      <protection/>
    </xf>
    <xf numFmtId="3" fontId="37" fillId="0" borderId="2" xfId="18" applyNumberFormat="1" applyFont="1" applyBorder="1" applyAlignment="1">
      <alignment horizontal="right"/>
      <protection/>
    </xf>
    <xf numFmtId="4" fontId="37" fillId="0" borderId="2" xfId="18" applyNumberFormat="1" applyFont="1" applyBorder="1" applyAlignment="1">
      <alignment horizontal="right"/>
      <protection/>
    </xf>
    <xf numFmtId="10" fontId="37" fillId="0" borderId="31" xfId="23" applyNumberFormat="1" applyFont="1" applyBorder="1" applyAlignment="1">
      <alignment/>
    </xf>
    <xf numFmtId="3" fontId="38" fillId="0" borderId="0" xfId="18" applyNumberFormat="1" applyFont="1">
      <alignment/>
      <protection/>
    </xf>
    <xf numFmtId="0" fontId="39" fillId="0" borderId="20" xfId="18" applyFont="1" applyBorder="1" applyAlignment="1">
      <alignment horizontal="centerContinuous"/>
      <protection/>
    </xf>
    <xf numFmtId="0" fontId="39" fillId="0" borderId="7" xfId="18" applyFont="1" applyBorder="1" applyAlignment="1">
      <alignment wrapText="1"/>
      <protection/>
    </xf>
    <xf numFmtId="0" fontId="39" fillId="0" borderId="0" xfId="18" applyFont="1" applyBorder="1" applyAlignment="1">
      <alignment horizontal="center"/>
      <protection/>
    </xf>
    <xf numFmtId="0" fontId="39" fillId="0" borderId="1" xfId="18" applyFont="1" applyBorder="1" applyAlignment="1">
      <alignment horizontal="center"/>
      <protection/>
    </xf>
    <xf numFmtId="3" fontId="39" fillId="0" borderId="1" xfId="18" applyNumberFormat="1" applyFont="1" applyBorder="1" applyAlignment="1">
      <alignment horizontal="right"/>
      <protection/>
    </xf>
    <xf numFmtId="4" fontId="39" fillId="0" borderId="1" xfId="18" applyNumberFormat="1" applyFont="1" applyBorder="1" applyAlignment="1">
      <alignment horizontal="right"/>
      <protection/>
    </xf>
    <xf numFmtId="10" fontId="39" fillId="0" borderId="28" xfId="23" applyNumberFormat="1" applyFont="1" applyBorder="1" applyAlignment="1">
      <alignment/>
    </xf>
    <xf numFmtId="3" fontId="39" fillId="0" borderId="0" xfId="18" applyNumberFormat="1" applyFont="1">
      <alignment/>
      <protection/>
    </xf>
    <xf numFmtId="0" fontId="39" fillId="0" borderId="0" xfId="18" applyFont="1">
      <alignment/>
      <protection/>
    </xf>
    <xf numFmtId="0" fontId="40" fillId="0" borderId="1" xfId="18" applyFont="1" applyBorder="1" applyAlignment="1">
      <alignment wrapText="1"/>
      <protection/>
    </xf>
    <xf numFmtId="3" fontId="40" fillId="0" borderId="1" xfId="18" applyNumberFormat="1" applyFont="1" applyBorder="1" applyAlignment="1">
      <alignment horizontal="right"/>
      <protection/>
    </xf>
    <xf numFmtId="4" fontId="40" fillId="0" borderId="7" xfId="18" applyNumberFormat="1" applyFont="1" applyBorder="1">
      <alignment/>
      <protection/>
    </xf>
    <xf numFmtId="0" fontId="0" fillId="0" borderId="20" xfId="18" applyFont="1" applyBorder="1" applyAlignment="1">
      <alignment horizontal="centerContinuous"/>
      <protection/>
    </xf>
    <xf numFmtId="0" fontId="16" fillId="0" borderId="1" xfId="18" applyFont="1" applyBorder="1" applyAlignment="1">
      <alignment wrapText="1"/>
      <protection/>
    </xf>
    <xf numFmtId="3" fontId="41" fillId="0" borderId="1" xfId="18" applyNumberFormat="1" applyFont="1" applyBorder="1" applyAlignment="1">
      <alignment horizontal="right"/>
      <protection/>
    </xf>
    <xf numFmtId="4" fontId="41" fillId="0" borderId="7" xfId="18" applyNumberFormat="1" applyFont="1" applyBorder="1">
      <alignment/>
      <protection/>
    </xf>
    <xf numFmtId="9" fontId="41" fillId="0" borderId="28" xfId="23" applyFont="1" applyBorder="1" applyAlignment="1">
      <alignment/>
    </xf>
    <xf numFmtId="9" fontId="31" fillId="0" borderId="28" xfId="23" applyFont="1" applyBorder="1" applyAlignment="1">
      <alignment/>
    </xf>
    <xf numFmtId="0" fontId="40" fillId="0" borderId="7" xfId="18" applyFont="1" applyBorder="1" applyAlignment="1">
      <alignment wrapText="1"/>
      <protection/>
    </xf>
    <xf numFmtId="4" fontId="40" fillId="0" borderId="1" xfId="18" applyNumberFormat="1" applyFont="1" applyBorder="1" applyAlignment="1">
      <alignment horizontal="right"/>
      <protection/>
    </xf>
    <xf numFmtId="0" fontId="42" fillId="0" borderId="1" xfId="18" applyFont="1" applyBorder="1" applyAlignment="1">
      <alignment wrapText="1"/>
      <protection/>
    </xf>
    <xf numFmtId="0" fontId="43" fillId="0" borderId="7" xfId="18" applyFont="1" applyBorder="1" applyAlignment="1">
      <alignment horizontal="center"/>
      <protection/>
    </xf>
    <xf numFmtId="0" fontId="43" fillId="0" borderId="1" xfId="18" applyFont="1" applyBorder="1" applyAlignment="1">
      <alignment horizontal="center"/>
      <protection/>
    </xf>
    <xf numFmtId="3" fontId="43" fillId="0" borderId="1" xfId="18" applyNumberFormat="1" applyFont="1" applyBorder="1" applyAlignment="1">
      <alignment horizontal="right"/>
      <protection/>
    </xf>
    <xf numFmtId="4" fontId="43" fillId="0" borderId="7" xfId="18" applyNumberFormat="1" applyFont="1" applyBorder="1">
      <alignment/>
      <protection/>
    </xf>
    <xf numFmtId="9" fontId="43" fillId="0" borderId="28" xfId="23" applyFont="1" applyBorder="1" applyAlignment="1">
      <alignment/>
    </xf>
    <xf numFmtId="3" fontId="16" fillId="0" borderId="1" xfId="18" applyNumberFormat="1" applyFont="1" applyBorder="1" applyAlignment="1">
      <alignment horizontal="right"/>
      <protection/>
    </xf>
    <xf numFmtId="4" fontId="16" fillId="0" borderId="7" xfId="18" applyNumberFormat="1" applyFont="1" applyBorder="1">
      <alignment/>
      <protection/>
    </xf>
    <xf numFmtId="3" fontId="16" fillId="0" borderId="0" xfId="18" applyNumberFormat="1" applyFont="1">
      <alignment/>
      <protection/>
    </xf>
    <xf numFmtId="0" fontId="34" fillId="0" borderId="0" xfId="18" applyFont="1">
      <alignment/>
      <protection/>
    </xf>
    <xf numFmtId="0" fontId="0" fillId="0" borderId="8" xfId="18" applyFont="1" applyBorder="1">
      <alignment/>
      <protection/>
    </xf>
    <xf numFmtId="0" fontId="0" fillId="0" borderId="2" xfId="18" applyFont="1" applyBorder="1" applyAlignment="1">
      <alignment horizontal="center"/>
      <protection/>
    </xf>
    <xf numFmtId="3" fontId="0" fillId="0" borderId="2" xfId="18" applyNumberFormat="1" applyFont="1" applyBorder="1" applyAlignment="1">
      <alignment horizontal="right"/>
      <protection/>
    </xf>
    <xf numFmtId="4" fontId="0" fillId="0" borderId="8" xfId="18" applyNumberFormat="1" applyFont="1" applyBorder="1">
      <alignment/>
      <protection/>
    </xf>
    <xf numFmtId="0" fontId="10" fillId="0" borderId="50" xfId="18" applyFont="1" applyBorder="1" applyAlignment="1">
      <alignment horizontal="center"/>
      <protection/>
    </xf>
    <xf numFmtId="4" fontId="36" fillId="0" borderId="1" xfId="18" applyNumberFormat="1" applyFont="1" applyBorder="1">
      <alignment/>
      <protection/>
    </xf>
    <xf numFmtId="10" fontId="36" fillId="0" borderId="28" xfId="23" applyNumberFormat="1" applyFont="1" applyBorder="1" applyAlignment="1">
      <alignment/>
    </xf>
    <xf numFmtId="3" fontId="10" fillId="0" borderId="0" xfId="18" applyNumberFormat="1" applyFont="1">
      <alignment/>
      <protection/>
    </xf>
    <xf numFmtId="0" fontId="10" fillId="0" borderId="49" xfId="18" applyFont="1" applyBorder="1" applyAlignment="1">
      <alignment horizontal="center"/>
      <protection/>
    </xf>
    <xf numFmtId="0" fontId="22" fillId="0" borderId="1" xfId="18" applyFont="1" applyBorder="1">
      <alignment/>
      <protection/>
    </xf>
    <xf numFmtId="0" fontId="40" fillId="0" borderId="20" xfId="18" applyFont="1" applyBorder="1" applyAlignment="1">
      <alignment horizontal="center"/>
      <protection/>
    </xf>
    <xf numFmtId="0" fontId="44" fillId="0" borderId="1" xfId="18" applyFont="1" applyBorder="1" applyAlignment="1">
      <alignment horizontal="center"/>
      <protection/>
    </xf>
    <xf numFmtId="3" fontId="44" fillId="0" borderId="1" xfId="18" applyNumberFormat="1" applyFont="1" applyBorder="1" applyAlignment="1">
      <alignment horizontal="right"/>
      <protection/>
    </xf>
    <xf numFmtId="4" fontId="44" fillId="0" borderId="7" xfId="18" applyNumberFormat="1" applyFont="1" applyBorder="1">
      <alignment/>
      <protection/>
    </xf>
    <xf numFmtId="10" fontId="44" fillId="0" borderId="28" xfId="23" applyNumberFormat="1" applyFont="1" applyBorder="1" applyAlignment="1">
      <alignment/>
    </xf>
    <xf numFmtId="3" fontId="40" fillId="0" borderId="0" xfId="18" applyNumberFormat="1" applyFont="1">
      <alignment/>
      <protection/>
    </xf>
    <xf numFmtId="0" fontId="40" fillId="0" borderId="0" xfId="18" applyFont="1">
      <alignment/>
      <protection/>
    </xf>
    <xf numFmtId="0" fontId="0" fillId="0" borderId="1" xfId="18" applyFont="1" applyBorder="1">
      <alignment/>
      <protection/>
    </xf>
    <xf numFmtId="0" fontId="10" fillId="0" borderId="66" xfId="18" applyFont="1" applyBorder="1" applyAlignment="1">
      <alignment horizontal="center"/>
      <protection/>
    </xf>
    <xf numFmtId="0" fontId="11" fillId="0" borderId="11" xfId="18" applyFont="1" applyBorder="1" applyAlignment="1">
      <alignment horizontal="center" vertical="center"/>
      <protection/>
    </xf>
    <xf numFmtId="0" fontId="10" fillId="0" borderId="44" xfId="18" applyFont="1" applyBorder="1" applyAlignment="1">
      <alignment horizontal="center"/>
      <protection/>
    </xf>
    <xf numFmtId="3" fontId="11" fillId="0" borderId="44" xfId="18" applyNumberFormat="1" applyFont="1" applyBorder="1" applyAlignment="1">
      <alignment horizontal="right"/>
      <protection/>
    </xf>
    <xf numFmtId="4" fontId="11" fillId="0" borderId="44" xfId="18" applyNumberFormat="1" applyFont="1" applyBorder="1" applyAlignment="1">
      <alignment horizontal="right"/>
      <protection/>
    </xf>
    <xf numFmtId="10" fontId="11" fillId="0" borderId="32" xfId="23" applyNumberFormat="1" applyFont="1" applyBorder="1" applyAlignment="1">
      <alignment/>
    </xf>
    <xf numFmtId="4" fontId="0" fillId="0" borderId="1" xfId="18" applyNumberFormat="1" applyFont="1" applyBorder="1">
      <alignment/>
      <protection/>
    </xf>
    <xf numFmtId="0" fontId="45" fillId="0" borderId="1" xfId="18" applyFont="1" applyBorder="1">
      <alignment/>
      <protection/>
    </xf>
    <xf numFmtId="3" fontId="46" fillId="0" borderId="1" xfId="18" applyNumberFormat="1" applyFont="1" applyBorder="1" applyAlignment="1">
      <alignment horizontal="right"/>
      <protection/>
    </xf>
    <xf numFmtId="4" fontId="46" fillId="0" borderId="1" xfId="18" applyNumberFormat="1" applyFont="1" applyBorder="1" applyAlignment="1">
      <alignment horizontal="right"/>
      <protection/>
    </xf>
    <xf numFmtId="0" fontId="0" fillId="0" borderId="2" xfId="18" applyFont="1" applyBorder="1" applyAlignment="1">
      <alignment wrapText="1"/>
      <protection/>
    </xf>
    <xf numFmtId="0" fontId="11" fillId="0" borderId="8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wrapText="1"/>
      <protection/>
    </xf>
    <xf numFmtId="0" fontId="31" fillId="0" borderId="0" xfId="18" applyFont="1" applyBorder="1" applyAlignment="1">
      <alignment horizontal="center"/>
      <protection/>
    </xf>
    <xf numFmtId="0" fontId="44" fillId="0" borderId="0" xfId="18" applyFont="1" applyBorder="1" applyAlignment="1">
      <alignment horizontal="center"/>
      <protection/>
    </xf>
    <xf numFmtId="4" fontId="44" fillId="0" borderId="1" xfId="18" applyNumberFormat="1" applyFont="1" applyBorder="1" applyAlignment="1">
      <alignment horizontal="right"/>
      <protection/>
    </xf>
    <xf numFmtId="0" fontId="8" fillId="0" borderId="1" xfId="18" applyFont="1" applyBorder="1">
      <alignment/>
      <protection/>
    </xf>
    <xf numFmtId="3" fontId="0" fillId="0" borderId="0" xfId="18" applyNumberFormat="1" applyFont="1" applyAlignment="1">
      <alignment horizontal="center"/>
      <protection/>
    </xf>
    <xf numFmtId="10" fontId="31" fillId="0" borderId="41" xfId="23" applyNumberFormat="1" applyFont="1" applyBorder="1" applyAlignment="1">
      <alignment/>
    </xf>
    <xf numFmtId="3" fontId="16" fillId="0" borderId="0" xfId="18" applyNumberFormat="1" applyFont="1" applyAlignment="1">
      <alignment horizontal="center"/>
      <protection/>
    </xf>
    <xf numFmtId="0" fontId="0" fillId="0" borderId="1" xfId="18" applyFont="1" applyBorder="1" applyAlignment="1">
      <alignment horizontal="left"/>
      <protection/>
    </xf>
    <xf numFmtId="3" fontId="16" fillId="0" borderId="1" xfId="18" applyNumberFormat="1" applyFont="1" applyBorder="1" applyAlignment="1">
      <alignment horizontal="center"/>
      <protection/>
    </xf>
    <xf numFmtId="10" fontId="31" fillId="0" borderId="41" xfId="18" applyNumberFormat="1" applyFont="1" applyBorder="1">
      <alignment/>
      <protection/>
    </xf>
    <xf numFmtId="0" fontId="16" fillId="0" borderId="1" xfId="18" applyFont="1" applyBorder="1" applyAlignment="1">
      <alignment horizontal="center"/>
      <protection/>
    </xf>
    <xf numFmtId="0" fontId="31" fillId="0" borderId="7" xfId="18" applyFont="1" applyBorder="1" applyAlignment="1">
      <alignment horizontal="center"/>
      <protection/>
    </xf>
    <xf numFmtId="3" fontId="16" fillId="0" borderId="0" xfId="18" applyNumberFormat="1" applyFont="1" applyAlignment="1">
      <alignment horizontal="right"/>
      <protection/>
    </xf>
    <xf numFmtId="0" fontId="44" fillId="0" borderId="7" xfId="18" applyFont="1" applyBorder="1" applyAlignment="1">
      <alignment horizontal="center"/>
      <protection/>
    </xf>
    <xf numFmtId="0" fontId="0" fillId="0" borderId="21" xfId="18" applyFont="1" applyBorder="1" applyAlignment="1">
      <alignment horizontal="center"/>
      <protection/>
    </xf>
    <xf numFmtId="0" fontId="0" fillId="0" borderId="2" xfId="18" applyFont="1" applyBorder="1">
      <alignment/>
      <protection/>
    </xf>
    <xf numFmtId="3" fontId="16" fillId="0" borderId="2" xfId="18" applyNumberFormat="1" applyFont="1" applyBorder="1" applyAlignment="1">
      <alignment horizontal="right"/>
      <protection/>
    </xf>
    <xf numFmtId="4" fontId="16" fillId="0" borderId="8" xfId="18" applyNumberFormat="1" applyFont="1" applyBorder="1">
      <alignment/>
      <protection/>
    </xf>
    <xf numFmtId="10" fontId="31" fillId="0" borderId="59" xfId="23" applyNumberFormat="1" applyFont="1" applyBorder="1" applyAlignment="1">
      <alignment/>
    </xf>
    <xf numFmtId="3" fontId="20" fillId="0" borderId="0" xfId="18" applyNumberFormat="1" applyFont="1" applyAlignment="1">
      <alignment horizontal="right"/>
      <protection/>
    </xf>
    <xf numFmtId="0" fontId="8" fillId="0" borderId="12" xfId="18" applyFont="1" applyBorder="1" applyAlignment="1">
      <alignment wrapText="1"/>
      <protection/>
    </xf>
    <xf numFmtId="0" fontId="0" fillId="0" borderId="53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3" fontId="0" fillId="0" borderId="3" xfId="18" applyNumberFormat="1" applyFont="1" applyBorder="1" applyAlignment="1">
      <alignment horizontal="right"/>
      <protection/>
    </xf>
    <xf numFmtId="4" fontId="0" fillId="0" borderId="3" xfId="18" applyNumberFormat="1" applyFont="1" applyBorder="1">
      <alignment/>
      <protection/>
    </xf>
    <xf numFmtId="10" fontId="0" fillId="0" borderId="37" xfId="23" applyNumberFormat="1" applyFont="1" applyBorder="1" applyAlignment="1">
      <alignment/>
    </xf>
    <xf numFmtId="0" fontId="40" fillId="0" borderId="1" xfId="18" applyFont="1" applyBorder="1" applyAlignment="1">
      <alignment horizontal="center"/>
      <protection/>
    </xf>
    <xf numFmtId="10" fontId="40" fillId="0" borderId="28" xfId="23" applyNumberFormat="1" applyFont="1" applyBorder="1" applyAlignment="1">
      <alignment/>
    </xf>
    <xf numFmtId="0" fontId="22" fillId="0" borderId="7" xfId="18" applyFont="1" applyBorder="1" applyAlignment="1">
      <alignment wrapText="1"/>
      <protection/>
    </xf>
    <xf numFmtId="0" fontId="0" fillId="0" borderId="1" xfId="18" applyFont="1" applyBorder="1" applyAlignment="1">
      <alignment wrapText="1"/>
      <protection/>
    </xf>
    <xf numFmtId="0" fontId="0" fillId="0" borderId="7" xfId="18" applyFont="1" applyBorder="1" applyAlignment="1">
      <alignment horizontal="center"/>
      <protection/>
    </xf>
    <xf numFmtId="0" fontId="0" fillId="0" borderId="1" xfId="18" applyFont="1" applyBorder="1" applyAlignment="1">
      <alignment horizontal="center"/>
      <protection/>
    </xf>
    <xf numFmtId="3" fontId="0" fillId="0" borderId="1" xfId="18" applyNumberFormat="1" applyFont="1" applyBorder="1" applyAlignment="1">
      <alignment horizontal="right"/>
      <protection/>
    </xf>
    <xf numFmtId="4" fontId="0" fillId="0" borderId="7" xfId="18" applyNumberFormat="1" applyFont="1" applyBorder="1">
      <alignment/>
      <protection/>
    </xf>
    <xf numFmtId="10" fontId="0" fillId="0" borderId="41" xfId="23" applyNumberFormat="1" applyFont="1" applyBorder="1" applyAlignment="1">
      <alignment/>
    </xf>
    <xf numFmtId="3" fontId="0" fillId="0" borderId="0" xfId="18" applyNumberFormat="1" applyFont="1">
      <alignment/>
      <protection/>
    </xf>
    <xf numFmtId="0" fontId="0" fillId="0" borderId="0" xfId="18" applyFont="1">
      <alignment/>
      <protection/>
    </xf>
    <xf numFmtId="3" fontId="16" fillId="0" borderId="1" xfId="18" applyNumberFormat="1" applyFont="1" applyBorder="1" applyAlignment="1">
      <alignment horizontal="right"/>
      <protection/>
    </xf>
    <xf numFmtId="4" fontId="16" fillId="0" borderId="7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10" fontId="0" fillId="0" borderId="28" xfId="23" applyNumberFormat="1" applyFont="1" applyBorder="1" applyAlignment="1">
      <alignment/>
    </xf>
    <xf numFmtId="0" fontId="13" fillId="0" borderId="20" xfId="18" applyFont="1" applyBorder="1" applyAlignment="1">
      <alignment horizontal="center"/>
      <protection/>
    </xf>
    <xf numFmtId="0" fontId="13" fillId="0" borderId="1" xfId="18" applyFont="1" applyBorder="1" applyAlignment="1">
      <alignment horizontal="center"/>
      <protection/>
    </xf>
    <xf numFmtId="3" fontId="47" fillId="0" borderId="0" xfId="18" applyNumberFormat="1" applyFont="1">
      <alignment/>
      <protection/>
    </xf>
    <xf numFmtId="0" fontId="13" fillId="0" borderId="0" xfId="18" applyFont="1">
      <alignment/>
      <protection/>
    </xf>
    <xf numFmtId="0" fontId="22" fillId="0" borderId="1" xfId="18" applyFont="1" applyBorder="1" applyAlignment="1">
      <alignment wrapText="1"/>
      <protection/>
    </xf>
    <xf numFmtId="10" fontId="0" fillId="0" borderId="41" xfId="23" applyNumberFormat="1" applyFont="1" applyBorder="1" applyAlignment="1">
      <alignment/>
    </xf>
    <xf numFmtId="0" fontId="11" fillId="0" borderId="44" xfId="18" applyFont="1" applyBorder="1" applyAlignment="1">
      <alignment horizontal="center"/>
      <protection/>
    </xf>
    <xf numFmtId="3" fontId="11" fillId="0" borderId="11" xfId="18" applyNumberFormat="1" applyFont="1" applyBorder="1" applyAlignment="1">
      <alignment horizontal="right"/>
      <protection/>
    </xf>
    <xf numFmtId="4" fontId="11" fillId="0" borderId="11" xfId="18" applyNumberFormat="1" applyFont="1" applyBorder="1" applyAlignment="1">
      <alignment horizontal="right"/>
      <protection/>
    </xf>
    <xf numFmtId="0" fontId="48" fillId="0" borderId="1" xfId="18" applyFont="1" applyBorder="1" applyAlignment="1">
      <alignment horizontal="center"/>
      <protection/>
    </xf>
    <xf numFmtId="3" fontId="48" fillId="0" borderId="1" xfId="18" applyNumberFormat="1" applyFont="1" applyBorder="1" applyAlignment="1">
      <alignment horizontal="right"/>
      <protection/>
    </xf>
    <xf numFmtId="4" fontId="48" fillId="0" borderId="7" xfId="18" applyNumberFormat="1" applyFont="1" applyBorder="1" applyAlignment="1">
      <alignment horizontal="right"/>
      <protection/>
    </xf>
    <xf numFmtId="10" fontId="48" fillId="0" borderId="41" xfId="23" applyNumberFormat="1" applyFont="1" applyFill="1" applyBorder="1" applyAlignment="1">
      <alignment/>
    </xf>
    <xf numFmtId="4" fontId="16" fillId="0" borderId="1" xfId="18" applyNumberFormat="1" applyFont="1" applyBorder="1">
      <alignment/>
      <protection/>
    </xf>
    <xf numFmtId="0" fontId="0" fillId="0" borderId="27" xfId="18" applyFont="1" applyBorder="1" applyAlignment="1">
      <alignment horizontal="center"/>
      <protection/>
    </xf>
    <xf numFmtId="0" fontId="16" fillId="0" borderId="5" xfId="18" applyFont="1" applyBorder="1">
      <alignment/>
      <protection/>
    </xf>
    <xf numFmtId="0" fontId="31" fillId="0" borderId="5" xfId="18" applyFont="1" applyBorder="1" applyAlignment="1">
      <alignment horizontal="center"/>
      <protection/>
    </xf>
    <xf numFmtId="3" fontId="31" fillId="0" borderId="5" xfId="18" applyNumberFormat="1" applyFont="1" applyBorder="1" applyAlignment="1">
      <alignment horizontal="right"/>
      <protection/>
    </xf>
    <xf numFmtId="4" fontId="31" fillId="0" borderId="5" xfId="18" applyNumberFormat="1" applyFont="1" applyBorder="1">
      <alignment/>
      <protection/>
    </xf>
    <xf numFmtId="10" fontId="31" fillId="0" borderId="38" xfId="23" applyNumberFormat="1" applyFont="1" applyBorder="1" applyAlignment="1">
      <alignment/>
    </xf>
    <xf numFmtId="0" fontId="0" fillId="0" borderId="23" xfId="18" applyFont="1" applyBorder="1" applyAlignment="1">
      <alignment horizontal="center"/>
      <protection/>
    </xf>
    <xf numFmtId="0" fontId="11" fillId="0" borderId="4" xfId="18" applyFont="1" applyBorder="1">
      <alignment/>
      <protection/>
    </xf>
    <xf numFmtId="0" fontId="11" fillId="0" borderId="4" xfId="18" applyFont="1" applyBorder="1" applyAlignment="1">
      <alignment horizontal="center"/>
      <protection/>
    </xf>
    <xf numFmtId="3" fontId="11" fillId="0" borderId="4" xfId="18" applyNumberFormat="1" applyFont="1" applyBorder="1" applyAlignment="1">
      <alignment horizontal="right"/>
      <protection/>
    </xf>
    <xf numFmtId="4" fontId="11" fillId="0" borderId="4" xfId="18" applyNumberFormat="1" applyFont="1" applyBorder="1" applyAlignment="1">
      <alignment horizontal="right"/>
      <protection/>
    </xf>
    <xf numFmtId="10" fontId="11" fillId="0" borderId="30" xfId="23" applyNumberFormat="1" applyFont="1" applyBorder="1" applyAlignment="1">
      <alignment/>
    </xf>
    <xf numFmtId="0" fontId="16" fillId="0" borderId="0" xfId="18" applyFont="1">
      <alignment/>
      <protection/>
    </xf>
    <xf numFmtId="4" fontId="31" fillId="0" borderId="0" xfId="18" applyNumberFormat="1" applyFont="1">
      <alignment/>
      <protection/>
    </xf>
    <xf numFmtId="0" fontId="10" fillId="0" borderId="17" xfId="18" applyFont="1" applyBorder="1" applyAlignment="1">
      <alignment horizontal="center"/>
      <protection/>
    </xf>
    <xf numFmtId="4" fontId="11" fillId="0" borderId="8" xfId="18" applyNumberFormat="1" applyFont="1" applyBorder="1">
      <alignment/>
      <protection/>
    </xf>
    <xf numFmtId="10" fontId="11" fillId="0" borderId="59" xfId="23" applyNumberFormat="1" applyFont="1" applyBorder="1" applyAlignment="1">
      <alignment/>
    </xf>
    <xf numFmtId="0" fontId="8" fillId="2" borderId="27" xfId="18" applyFont="1" applyFill="1" applyBorder="1" applyAlignment="1">
      <alignment horizontal="center" vertical="center" wrapText="1"/>
      <protection/>
    </xf>
    <xf numFmtId="0" fontId="8" fillId="2" borderId="5" xfId="18" applyFont="1" applyFill="1" applyBorder="1" applyAlignment="1">
      <alignment horizontal="center" vertical="center" wrapText="1"/>
      <protection/>
    </xf>
    <xf numFmtId="3" fontId="0" fillId="2" borderId="0" xfId="18" applyNumberFormat="1" applyFont="1" applyFill="1">
      <alignment/>
      <protection/>
    </xf>
    <xf numFmtId="0" fontId="0" fillId="2" borderId="0" xfId="18" applyFont="1" applyFill="1">
      <alignment/>
      <protection/>
    </xf>
    <xf numFmtId="0" fontId="8" fillId="2" borderId="34" xfId="18" applyFont="1" applyFill="1" applyBorder="1" applyAlignment="1">
      <alignment horizontal="center" vertical="center" wrapText="1"/>
      <protection/>
    </xf>
    <xf numFmtId="0" fontId="8" fillId="2" borderId="67" xfId="18" applyFont="1" applyFill="1" applyBorder="1" applyAlignment="1">
      <alignment horizontal="center" vertical="center" wrapText="1"/>
      <protection/>
    </xf>
    <xf numFmtId="0" fontId="28" fillId="2" borderId="66" xfId="18" applyFont="1" applyFill="1" applyBorder="1" applyAlignment="1">
      <alignment horizontal="centerContinuous"/>
      <protection/>
    </xf>
    <xf numFmtId="0" fontId="28" fillId="2" borderId="11" xfId="18" applyFont="1" applyFill="1" applyBorder="1" applyAlignment="1">
      <alignment horizontal="centerContinuous"/>
      <protection/>
    </xf>
    <xf numFmtId="0" fontId="28" fillId="2" borderId="44" xfId="18" applyFont="1" applyFill="1" applyBorder="1" applyAlignment="1">
      <alignment horizontal="centerContinuous"/>
      <protection/>
    </xf>
    <xf numFmtId="0" fontId="28" fillId="2" borderId="11" xfId="18" applyFont="1" applyFill="1" applyBorder="1" applyAlignment="1">
      <alignment horizontal="center"/>
      <protection/>
    </xf>
    <xf numFmtId="0" fontId="28" fillId="2" borderId="68" xfId="18" applyFont="1" applyFill="1" applyBorder="1" applyAlignment="1">
      <alignment horizontal="center"/>
      <protection/>
    </xf>
    <xf numFmtId="0" fontId="0" fillId="0" borderId="0" xfId="18">
      <alignment/>
      <protection/>
    </xf>
    <xf numFmtId="43" fontId="0" fillId="0" borderId="0" xfId="15" applyAlignment="1">
      <alignment/>
    </xf>
    <xf numFmtId="0" fontId="29" fillId="0" borderId="0" xfId="18" applyFont="1" applyAlignment="1">
      <alignment horizontal="left"/>
      <protection/>
    </xf>
    <xf numFmtId="0" fontId="13" fillId="0" borderId="0" xfId="18" applyFont="1" applyAlignment="1">
      <alignment horizontal="right" vertical="center"/>
      <protection/>
    </xf>
    <xf numFmtId="0" fontId="7" fillId="2" borderId="23" xfId="18" applyFont="1" applyFill="1" applyBorder="1" applyAlignment="1">
      <alignment horizontal="center"/>
      <protection/>
    </xf>
    <xf numFmtId="0" fontId="7" fillId="2" borderId="4" xfId="18" applyFont="1" applyFill="1" applyBorder="1" applyAlignment="1">
      <alignment horizontal="center"/>
      <protection/>
    </xf>
    <xf numFmtId="0" fontId="7" fillId="2" borderId="6" xfId="18" applyFont="1" applyFill="1" applyBorder="1" applyAlignment="1">
      <alignment horizontal="center"/>
      <protection/>
    </xf>
    <xf numFmtId="0" fontId="7" fillId="2" borderId="62" xfId="18" applyFont="1" applyFill="1" applyBorder="1" applyAlignment="1">
      <alignment horizontal="center"/>
      <protection/>
    </xf>
    <xf numFmtId="0" fontId="0" fillId="0" borderId="20" xfId="18" applyFont="1" applyBorder="1">
      <alignment/>
      <protection/>
    </xf>
    <xf numFmtId="0" fontId="0" fillId="0" borderId="7" xfId="18" applyBorder="1">
      <alignment/>
      <protection/>
    </xf>
    <xf numFmtId="0" fontId="0" fillId="0" borderId="41" xfId="18" applyBorder="1">
      <alignment/>
      <protection/>
    </xf>
    <xf numFmtId="0" fontId="8" fillId="0" borderId="2" xfId="18" applyFont="1" applyBorder="1">
      <alignment/>
      <protection/>
    </xf>
    <xf numFmtId="4" fontId="8" fillId="0" borderId="2" xfId="18" applyNumberFormat="1" applyFont="1" applyBorder="1" applyAlignment="1">
      <alignment horizontal="right" vertical="center"/>
      <protection/>
    </xf>
    <xf numFmtId="0" fontId="8" fillId="0" borderId="1" xfId="18" applyFont="1" applyBorder="1">
      <alignment/>
      <protection/>
    </xf>
    <xf numFmtId="4" fontId="0" fillId="0" borderId="1" xfId="18" applyNumberFormat="1" applyFont="1" applyBorder="1" applyAlignment="1">
      <alignment horizontal="right" vertical="center"/>
      <protection/>
    </xf>
    <xf numFmtId="0" fontId="0" fillId="0" borderId="20" xfId="18" applyFont="1" applyBorder="1" applyAlignment="1">
      <alignment horizontal="center"/>
      <protection/>
    </xf>
    <xf numFmtId="4" fontId="0" fillId="0" borderId="2" xfId="18" applyNumberFormat="1" applyFont="1" applyBorder="1" applyAlignment="1">
      <alignment horizontal="right" vertical="center"/>
      <protection/>
    </xf>
    <xf numFmtId="10" fontId="0" fillId="0" borderId="31" xfId="23" applyNumberFormat="1" applyFont="1" applyBorder="1" applyAlignment="1">
      <alignment/>
    </xf>
    <xf numFmtId="43" fontId="40" fillId="0" borderId="0" xfId="15" applyFont="1" applyAlignment="1">
      <alignment/>
    </xf>
    <xf numFmtId="4" fontId="0" fillId="0" borderId="7" xfId="18" applyNumberFormat="1" applyFont="1" applyBorder="1" applyAlignment="1">
      <alignment horizontal="right" vertical="center"/>
      <protection/>
    </xf>
    <xf numFmtId="4" fontId="0" fillId="0" borderId="7" xfId="18" applyNumberFormat="1" applyFont="1" applyBorder="1" applyAlignment="1">
      <alignment/>
      <protection/>
    </xf>
    <xf numFmtId="10" fontId="0" fillId="0" borderId="41" xfId="23" applyNumberFormat="1" applyFont="1" applyBorder="1" applyAlignment="1">
      <alignment/>
    </xf>
    <xf numFmtId="0" fontId="0" fillId="0" borderId="1" xfId="18" applyFont="1" applyFill="1" applyBorder="1">
      <alignment/>
      <protection/>
    </xf>
    <xf numFmtId="4" fontId="0" fillId="0" borderId="1" xfId="18" applyNumberFormat="1" applyFont="1" applyBorder="1" applyAlignment="1">
      <alignment horizontal="right" vertical="center"/>
      <protection/>
    </xf>
    <xf numFmtId="0" fontId="0" fillId="0" borderId="20" xfId="18" applyFont="1" applyFill="1" applyBorder="1" applyAlignment="1">
      <alignment horizontal="center"/>
      <protection/>
    </xf>
    <xf numFmtId="0" fontId="0" fillId="0" borderId="1" xfId="18" applyFont="1" applyFill="1" applyBorder="1" applyAlignment="1">
      <alignment horizontal="center"/>
      <protection/>
    </xf>
    <xf numFmtId="4" fontId="0" fillId="0" borderId="2" xfId="18" applyNumberFormat="1" applyFont="1" applyFill="1" applyBorder="1" applyAlignment="1">
      <alignment horizontal="right" vertical="center"/>
      <protection/>
    </xf>
    <xf numFmtId="4" fontId="0" fillId="0" borderId="8" xfId="18" applyNumberFormat="1" applyFont="1" applyFill="1" applyBorder="1" applyAlignment="1">
      <alignment horizontal="right" vertical="center"/>
      <protection/>
    </xf>
    <xf numFmtId="0" fontId="0" fillId="0" borderId="0" xfId="18" applyFont="1" applyFill="1">
      <alignment/>
      <protection/>
    </xf>
    <xf numFmtId="43" fontId="0" fillId="0" borderId="0" xfId="15" applyFont="1" applyFill="1" applyAlignment="1">
      <alignment/>
    </xf>
    <xf numFmtId="4" fontId="0" fillId="0" borderId="1" xfId="18" applyNumberFormat="1" applyFont="1" applyFill="1" applyBorder="1" applyAlignment="1">
      <alignment horizontal="right" vertical="center"/>
      <protection/>
    </xf>
    <xf numFmtId="4" fontId="0" fillId="0" borderId="7" xfId="18" applyNumberFormat="1" applyFont="1" applyFill="1" applyBorder="1" applyAlignment="1">
      <alignment horizontal="right" vertical="center"/>
      <protection/>
    </xf>
    <xf numFmtId="0" fontId="0" fillId="0" borderId="1" xfId="18" applyFont="1" applyFill="1" applyBorder="1" applyAlignment="1">
      <alignment horizontal="center"/>
      <protection/>
    </xf>
    <xf numFmtId="4" fontId="0" fillId="0" borderId="1" xfId="18" applyNumberFormat="1" applyFont="1" applyFill="1" applyBorder="1" applyAlignment="1">
      <alignment horizontal="right" vertical="center"/>
      <protection/>
    </xf>
    <xf numFmtId="4" fontId="0" fillId="0" borderId="7" xfId="18" applyNumberFormat="1" applyFont="1" applyFill="1" applyBorder="1">
      <alignment/>
      <protection/>
    </xf>
    <xf numFmtId="0" fontId="0" fillId="0" borderId="1" xfId="18" applyFont="1" applyFill="1" applyBorder="1">
      <alignment/>
      <protection/>
    </xf>
    <xf numFmtId="10" fontId="0" fillId="0" borderId="41" xfId="23" applyNumberFormat="1" applyFont="1" applyFill="1" applyBorder="1" applyAlignment="1">
      <alignment/>
    </xf>
    <xf numFmtId="0" fontId="0" fillId="0" borderId="22" xfId="18" applyFont="1" applyFill="1" applyBorder="1" applyAlignment="1">
      <alignment horizontal="center"/>
      <protection/>
    </xf>
    <xf numFmtId="0" fontId="8" fillId="0" borderId="12" xfId="18" applyFont="1" applyFill="1" applyBorder="1">
      <alignment/>
      <protection/>
    </xf>
    <xf numFmtId="0" fontId="0" fillId="0" borderId="12" xfId="18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4" fontId="0" fillId="0" borderId="3" xfId="18" applyNumberFormat="1" applyFont="1" applyFill="1" applyBorder="1" applyAlignment="1">
      <alignment horizontal="right" vertical="center"/>
      <protection/>
    </xf>
    <xf numFmtId="4" fontId="0" fillId="0" borderId="12" xfId="18" applyNumberFormat="1" applyFont="1" applyFill="1" applyBorder="1">
      <alignment/>
      <protection/>
    </xf>
    <xf numFmtId="10" fontId="0" fillId="0" borderId="61" xfId="23" applyNumberFormat="1" applyFont="1" applyFill="1" applyBorder="1" applyAlignment="1">
      <alignment/>
    </xf>
    <xf numFmtId="0" fontId="0" fillId="0" borderId="21" xfId="18" applyFont="1" applyFill="1" applyBorder="1" applyAlignment="1">
      <alignment horizontal="center"/>
      <protection/>
    </xf>
    <xf numFmtId="0" fontId="8" fillId="0" borderId="8" xfId="18" applyFont="1" applyFill="1" applyBorder="1">
      <alignment/>
      <protection/>
    </xf>
    <xf numFmtId="0" fontId="0" fillId="0" borderId="8" xfId="18" applyFont="1" applyFill="1" applyBorder="1" applyAlignment="1">
      <alignment horizontal="center"/>
      <protection/>
    </xf>
    <xf numFmtId="0" fontId="0" fillId="0" borderId="2" xfId="18" applyFont="1" applyFill="1" applyBorder="1" applyAlignment="1">
      <alignment horizontal="center"/>
      <protection/>
    </xf>
    <xf numFmtId="4" fontId="8" fillId="0" borderId="2" xfId="18" applyNumberFormat="1" applyFont="1" applyFill="1" applyBorder="1" applyAlignment="1">
      <alignment horizontal="right" vertical="center"/>
      <protection/>
    </xf>
    <xf numFmtId="4" fontId="8" fillId="0" borderId="8" xfId="18" applyNumberFormat="1" applyFont="1" applyFill="1" applyBorder="1" applyAlignment="1">
      <alignment horizontal="right" vertical="center"/>
      <protection/>
    </xf>
    <xf numFmtId="10" fontId="8" fillId="0" borderId="59" xfId="23" applyNumberFormat="1" applyFont="1" applyFill="1" applyBorder="1" applyAlignment="1">
      <alignment/>
    </xf>
    <xf numFmtId="4" fontId="8" fillId="0" borderId="3" xfId="18" applyNumberFormat="1" applyFont="1" applyFill="1" applyBorder="1" applyAlignment="1">
      <alignment horizontal="right" vertical="center"/>
      <protection/>
    </xf>
    <xf numFmtId="4" fontId="8" fillId="0" borderId="12" xfId="18" applyNumberFormat="1" applyFont="1" applyFill="1" applyBorder="1" applyAlignment="1">
      <alignment horizontal="right" vertical="center"/>
      <protection/>
    </xf>
    <xf numFmtId="10" fontId="8" fillId="0" borderId="61" xfId="23" applyNumberFormat="1" applyFont="1" applyFill="1" applyBorder="1" applyAlignment="1">
      <alignment/>
    </xf>
    <xf numFmtId="9" fontId="0" fillId="0" borderId="41" xfId="23" applyFont="1" applyFill="1" applyBorder="1" applyAlignment="1">
      <alignment/>
    </xf>
    <xf numFmtId="9" fontId="0" fillId="0" borderId="28" xfId="23" applyFont="1" applyFill="1" applyBorder="1" applyAlignment="1">
      <alignment/>
    </xf>
    <xf numFmtId="4" fontId="16" fillId="0" borderId="1" xfId="18" applyNumberFormat="1" applyFont="1" applyFill="1" applyBorder="1" applyAlignment="1">
      <alignment horizontal="right" vertical="center"/>
      <protection/>
    </xf>
    <xf numFmtId="4" fontId="16" fillId="0" borderId="7" xfId="18" applyNumberFormat="1" applyFont="1" applyFill="1" applyBorder="1">
      <alignment/>
      <protection/>
    </xf>
    <xf numFmtId="9" fontId="0" fillId="0" borderId="28" xfId="23" applyFont="1" applyFill="1" applyBorder="1" applyAlignment="1">
      <alignment/>
    </xf>
    <xf numFmtId="4" fontId="16" fillId="0" borderId="1" xfId="18" applyNumberFormat="1" applyFont="1" applyBorder="1" applyAlignment="1">
      <alignment horizontal="right" vertical="center"/>
      <protection/>
    </xf>
    <xf numFmtId="9" fontId="0" fillId="0" borderId="28" xfId="23" applyFont="1" applyBorder="1" applyAlignment="1">
      <alignment/>
    </xf>
    <xf numFmtId="0" fontId="0" fillId="0" borderId="1" xfId="18" applyFont="1" applyBorder="1" applyAlignment="1">
      <alignment horizontal="left" wrapText="1"/>
      <protection/>
    </xf>
    <xf numFmtId="4" fontId="16" fillId="0" borderId="1" xfId="18" applyNumberFormat="1" applyFont="1" applyBorder="1" applyAlignment="1">
      <alignment horizontal="right"/>
      <protection/>
    </xf>
    <xf numFmtId="4" fontId="16" fillId="0" borderId="7" xfId="18" applyNumberFormat="1" applyFont="1" applyBorder="1" applyAlignment="1">
      <alignment horizontal="right"/>
      <protection/>
    </xf>
    <xf numFmtId="43" fontId="49" fillId="0" borderId="0" xfId="15" applyFont="1" applyAlignment="1">
      <alignment/>
    </xf>
    <xf numFmtId="0" fontId="0" fillId="0" borderId="7" xfId="18" applyFont="1" applyBorder="1" applyAlignment="1">
      <alignment wrapText="1"/>
      <protection/>
    </xf>
    <xf numFmtId="0" fontId="0" fillId="0" borderId="7" xfId="18" applyFont="1" applyBorder="1">
      <alignment/>
      <protection/>
    </xf>
    <xf numFmtId="0" fontId="16" fillId="0" borderId="20" xfId="18" applyFont="1" applyBorder="1" applyAlignment="1">
      <alignment/>
      <protection/>
    </xf>
    <xf numFmtId="43" fontId="0" fillId="0" borderId="0" xfId="15" applyFont="1" applyAlignment="1">
      <alignment/>
    </xf>
    <xf numFmtId="0" fontId="0" fillId="0" borderId="0" xfId="18" applyFont="1" applyAlignment="1">
      <alignment/>
      <protection/>
    </xf>
    <xf numFmtId="0" fontId="16" fillId="0" borderId="0" xfId="18" applyFont="1" applyBorder="1" applyAlignment="1">
      <alignment/>
      <protection/>
    </xf>
    <xf numFmtId="4" fontId="0" fillId="0" borderId="8" xfId="18" applyNumberFormat="1" applyFont="1" applyBorder="1">
      <alignment/>
      <protection/>
    </xf>
    <xf numFmtId="10" fontId="0" fillId="0" borderId="59" xfId="23" applyNumberFormat="1" applyFont="1" applyBorder="1" applyAlignment="1">
      <alignment/>
    </xf>
    <xf numFmtId="0" fontId="0" fillId="0" borderId="4" xfId="18" applyFont="1" applyBorder="1">
      <alignment/>
      <protection/>
    </xf>
    <xf numFmtId="0" fontId="0" fillId="0" borderId="4" xfId="18" applyFont="1" applyBorder="1" applyAlignment="1">
      <alignment horizontal="center"/>
      <protection/>
    </xf>
    <xf numFmtId="4" fontId="0" fillId="0" borderId="4" xfId="18" applyNumberFormat="1" applyFont="1" applyBorder="1" applyAlignment="1">
      <alignment horizontal="right" vertical="center"/>
      <protection/>
    </xf>
    <xf numFmtId="4" fontId="0" fillId="0" borderId="6" xfId="18" applyNumberFormat="1" applyFont="1" applyBorder="1">
      <alignment/>
      <protection/>
    </xf>
    <xf numFmtId="10" fontId="0" fillId="0" borderId="62" xfId="23" applyNumberFormat="1" applyFont="1" applyBorder="1" applyAlignment="1">
      <alignment/>
    </xf>
    <xf numFmtId="0" fontId="16" fillId="0" borderId="20" xfId="18" applyFont="1" applyBorder="1" applyAlignment="1">
      <alignment horizontal="center"/>
      <protection/>
    </xf>
    <xf numFmtId="3" fontId="16" fillId="0" borderId="7" xfId="18" applyNumberFormat="1" applyFont="1" applyBorder="1">
      <alignment/>
      <protection/>
    </xf>
    <xf numFmtId="10" fontId="16" fillId="0" borderId="41" xfId="23" applyNumberFormat="1" applyFont="1" applyBorder="1" applyAlignment="1">
      <alignment/>
    </xf>
    <xf numFmtId="0" fontId="11" fillId="0" borderId="23" xfId="18" applyFont="1" applyBorder="1">
      <alignment/>
      <protection/>
    </xf>
    <xf numFmtId="4" fontId="11" fillId="0" borderId="4" xfId="18" applyNumberFormat="1" applyFont="1" applyBorder="1" applyAlignment="1">
      <alignment horizontal="right" vertical="center"/>
      <protection/>
    </xf>
    <xf numFmtId="10" fontId="11" fillId="0" borderId="30" xfId="23" applyNumberFormat="1" applyFont="1" applyBorder="1" applyAlignment="1">
      <alignment/>
    </xf>
    <xf numFmtId="0" fontId="15" fillId="0" borderId="0" xfId="0" applyFont="1" applyAlignment="1">
      <alignment/>
    </xf>
    <xf numFmtId="0" fontId="8" fillId="2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3" fontId="0" fillId="0" borderId="41" xfId="0" applyNumberFormat="1" applyFont="1" applyBorder="1" applyAlignment="1">
      <alignment/>
    </xf>
    <xf numFmtId="0" fontId="0" fillId="0" borderId="20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10" fontId="1" fillId="0" borderId="30" xfId="23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3" fontId="0" fillId="0" borderId="1" xfId="15" applyFont="1" applyBorder="1" applyAlignment="1">
      <alignment/>
    </xf>
    <xf numFmtId="4" fontId="0" fillId="0" borderId="1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7" fillId="0" borderId="24" xfId="18" applyFont="1" applyBorder="1" applyAlignment="1">
      <alignment horizontal="centerContinuous"/>
      <protection/>
    </xf>
    <xf numFmtId="0" fontId="7" fillId="0" borderId="70" xfId="18" applyFont="1" applyBorder="1" applyAlignment="1">
      <alignment horizontal="centerContinuous"/>
      <protection/>
    </xf>
    <xf numFmtId="0" fontId="7" fillId="0" borderId="25" xfId="18" applyFont="1" applyBorder="1" applyAlignment="1">
      <alignment horizontal="centerContinuous"/>
      <protection/>
    </xf>
    <xf numFmtId="0" fontId="7" fillId="0" borderId="70" xfId="18" applyFont="1" applyBorder="1" applyAlignment="1">
      <alignment horizontal="center"/>
      <protection/>
    </xf>
    <xf numFmtId="0" fontId="7" fillId="0" borderId="71" xfId="18" applyFont="1" applyBorder="1" applyAlignment="1">
      <alignment horizontal="center"/>
      <protection/>
    </xf>
    <xf numFmtId="3" fontId="50" fillId="0" borderId="1" xfId="18" applyNumberFormat="1" applyFont="1" applyBorder="1" applyAlignment="1">
      <alignment horizontal="right"/>
      <protection/>
    </xf>
    <xf numFmtId="4" fontId="50" fillId="0" borderId="1" xfId="18" applyNumberFormat="1" applyFont="1" applyBorder="1" applyAlignment="1">
      <alignment horizontal="right"/>
      <protection/>
    </xf>
    <xf numFmtId="4" fontId="31" fillId="0" borderId="1" xfId="18" applyNumberFormat="1" applyFont="1" applyBorder="1">
      <alignment/>
      <protection/>
    </xf>
    <xf numFmtId="3" fontId="31" fillId="0" borderId="0" xfId="18" applyNumberFormat="1" applyFont="1">
      <alignment/>
      <protection/>
    </xf>
    <xf numFmtId="0" fontId="0" fillId="0" borderId="0" xfId="20">
      <alignment/>
      <protection/>
    </xf>
    <xf numFmtId="0" fontId="10" fillId="0" borderId="0" xfId="20" applyFont="1">
      <alignment/>
      <protection/>
    </xf>
    <xf numFmtId="0" fontId="13" fillId="0" borderId="0" xfId="20" applyFont="1" applyAlignment="1">
      <alignment horizontal="right"/>
      <protection/>
    </xf>
    <xf numFmtId="0" fontId="0" fillId="0" borderId="2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20" xfId="20" applyFont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1" xfId="20" applyFont="1" applyBorder="1" applyAlignment="1">
      <alignment horizontal="center"/>
      <protection/>
    </xf>
    <xf numFmtId="3" fontId="0" fillId="0" borderId="1" xfId="20" applyNumberFormat="1" applyFont="1" applyBorder="1">
      <alignment/>
      <protection/>
    </xf>
    <xf numFmtId="4" fontId="0" fillId="0" borderId="1" xfId="20" applyNumberFormat="1" applyFont="1" applyBorder="1">
      <alignment/>
      <protection/>
    </xf>
    <xf numFmtId="3" fontId="8" fillId="0" borderId="2" xfId="20" applyNumberFormat="1" applyFont="1" applyBorder="1">
      <alignment/>
      <protection/>
    </xf>
    <xf numFmtId="4" fontId="8" fillId="0" borderId="2" xfId="20" applyNumberFormat="1" applyFont="1" applyBorder="1">
      <alignment/>
      <protection/>
    </xf>
    <xf numFmtId="0" fontId="0" fillId="0" borderId="20" xfId="20" applyFont="1" applyBorder="1">
      <alignment/>
      <protection/>
    </xf>
    <xf numFmtId="0" fontId="0" fillId="0" borderId="7" xfId="20" applyBorder="1">
      <alignment/>
      <protection/>
    </xf>
    <xf numFmtId="4" fontId="0" fillId="0" borderId="7" xfId="20" applyNumberFormat="1" applyBorder="1">
      <alignment/>
      <protection/>
    </xf>
    <xf numFmtId="10" fontId="0" fillId="0" borderId="28" xfId="20" applyNumberFormat="1" applyBorder="1">
      <alignment/>
      <protection/>
    </xf>
    <xf numFmtId="0" fontId="0" fillId="0" borderId="2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3" fontId="0" fillId="0" borderId="2" xfId="20" applyNumberFormat="1" applyFont="1" applyBorder="1">
      <alignment/>
      <protection/>
    </xf>
    <xf numFmtId="4" fontId="0" fillId="0" borderId="2" xfId="20" applyNumberFormat="1" applyFont="1" applyBorder="1">
      <alignment/>
      <protection/>
    </xf>
    <xf numFmtId="3" fontId="0" fillId="0" borderId="0" xfId="20" applyNumberFormat="1">
      <alignment/>
      <protection/>
    </xf>
    <xf numFmtId="4" fontId="0" fillId="0" borderId="0" xfId="20" applyNumberFormat="1">
      <alignment/>
      <protection/>
    </xf>
    <xf numFmtId="0" fontId="0" fillId="0" borderId="3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3" fontId="0" fillId="0" borderId="3" xfId="20" applyNumberFormat="1" applyFont="1" applyBorder="1">
      <alignment/>
      <protection/>
    </xf>
    <xf numFmtId="4" fontId="8" fillId="0" borderId="7" xfId="20" applyNumberFormat="1" applyFont="1" applyBorder="1">
      <alignment/>
      <protection/>
    </xf>
    <xf numFmtId="10" fontId="8" fillId="0" borderId="28" xfId="23" applyNumberFormat="1" applyFont="1" applyBorder="1" applyAlignment="1">
      <alignment/>
    </xf>
    <xf numFmtId="0" fontId="0" fillId="0" borderId="7" xfId="20" applyFont="1" applyBorder="1" applyAlignment="1">
      <alignment horizontal="center"/>
      <protection/>
    </xf>
    <xf numFmtId="3" fontId="8" fillId="0" borderId="2" xfId="20" applyNumberFormat="1" applyFont="1" applyBorder="1">
      <alignment/>
      <protection/>
    </xf>
    <xf numFmtId="4" fontId="8" fillId="0" borderId="8" xfId="20" applyNumberFormat="1" applyFont="1" applyBorder="1">
      <alignment/>
      <protection/>
    </xf>
    <xf numFmtId="10" fontId="8" fillId="0" borderId="31" xfId="23" applyNumberFormat="1" applyFont="1" applyBorder="1" applyAlignment="1">
      <alignment/>
    </xf>
    <xf numFmtId="0" fontId="0" fillId="0" borderId="8" xfId="20" applyFont="1" applyBorder="1" applyAlignment="1">
      <alignment horizontal="center"/>
      <protection/>
    </xf>
    <xf numFmtId="3" fontId="0" fillId="0" borderId="8" xfId="20" applyNumberFormat="1" applyFont="1" applyBorder="1">
      <alignment/>
      <protection/>
    </xf>
    <xf numFmtId="4" fontId="0" fillId="0" borderId="8" xfId="20" applyNumberFormat="1" applyFont="1" applyBorder="1">
      <alignment/>
      <protection/>
    </xf>
    <xf numFmtId="0" fontId="0" fillId="0" borderId="22" xfId="20" applyFont="1" applyBorder="1" applyAlignment="1">
      <alignment horizontal="center"/>
      <protection/>
    </xf>
    <xf numFmtId="0" fontId="0" fillId="0" borderId="21" xfId="20" applyFont="1" applyBorder="1" applyAlignment="1">
      <alignment horizontal="center"/>
      <protection/>
    </xf>
    <xf numFmtId="9" fontId="0" fillId="0" borderId="28" xfId="23" applyNumberFormat="1" applyFont="1" applyBorder="1" applyAlignment="1">
      <alignment/>
    </xf>
    <xf numFmtId="3" fontId="8" fillId="0" borderId="8" xfId="20" applyNumberFormat="1" applyFont="1" applyBorder="1">
      <alignment/>
      <protection/>
    </xf>
    <xf numFmtId="4" fontId="8" fillId="0" borderId="8" xfId="20" applyNumberFormat="1" applyFont="1" applyBorder="1">
      <alignment/>
      <protection/>
    </xf>
    <xf numFmtId="3" fontId="0" fillId="0" borderId="7" xfId="20" applyNumberFormat="1" applyFont="1" applyBorder="1">
      <alignment/>
      <protection/>
    </xf>
    <xf numFmtId="4" fontId="0" fillId="0" borderId="0" xfId="20" applyNumberFormat="1" applyFont="1" applyBorder="1">
      <alignment/>
      <protection/>
    </xf>
    <xf numFmtId="4" fontId="0" fillId="0" borderId="7" xfId="20" applyNumberFormat="1" applyFont="1" applyBorder="1">
      <alignment/>
      <protection/>
    </xf>
    <xf numFmtId="188" fontId="0" fillId="0" borderId="0" xfId="20" applyNumberFormat="1">
      <alignment/>
      <protection/>
    </xf>
    <xf numFmtId="0" fontId="0" fillId="0" borderId="0" xfId="20" applyFont="1" applyBorder="1" applyAlignment="1">
      <alignment horizontal="center"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4" fontId="0" fillId="0" borderId="3" xfId="20" applyNumberFormat="1" applyFont="1" applyBorder="1">
      <alignment/>
      <protection/>
    </xf>
    <xf numFmtId="3" fontId="0" fillId="0" borderId="4" xfId="20" applyNumberFormat="1" applyFont="1" applyBorder="1">
      <alignment/>
      <protection/>
    </xf>
    <xf numFmtId="4" fontId="0" fillId="0" borderId="4" xfId="20" applyNumberFormat="1" applyFont="1" applyBorder="1">
      <alignment/>
      <protection/>
    </xf>
    <xf numFmtId="3" fontId="0" fillId="0" borderId="1" xfId="20" applyNumberFormat="1" applyFont="1" applyBorder="1" applyAlignment="1">
      <alignment horizontal="center"/>
      <protection/>
    </xf>
    <xf numFmtId="0" fontId="0" fillId="0" borderId="28" xfId="23" applyNumberFormat="1" applyFont="1" applyBorder="1" applyAlignment="1">
      <alignment horizontal="center"/>
    </xf>
    <xf numFmtId="0" fontId="0" fillId="0" borderId="49" xfId="20" applyFont="1" applyBorder="1" applyAlignment="1">
      <alignment horizontal="center"/>
      <protection/>
    </xf>
    <xf numFmtId="4" fontId="0" fillId="0" borderId="12" xfId="20" applyNumberFormat="1" applyFont="1" applyBorder="1">
      <alignment/>
      <protection/>
    </xf>
    <xf numFmtId="4" fontId="7" fillId="0" borderId="7" xfId="0" applyNumberFormat="1" applyFont="1" applyFill="1" applyBorder="1" applyAlignment="1">
      <alignment horizontal="right" vertical="center" wrapText="1"/>
    </xf>
    <xf numFmtId="3" fontId="0" fillId="0" borderId="1" xfId="20" applyNumberFormat="1" applyFont="1" applyBorder="1">
      <alignment/>
      <protection/>
    </xf>
    <xf numFmtId="4" fontId="0" fillId="0" borderId="1" xfId="20" applyNumberFormat="1" applyFont="1" applyBorder="1">
      <alignment/>
      <protection/>
    </xf>
    <xf numFmtId="0" fontId="0" fillId="0" borderId="27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5" xfId="20" applyFont="1" applyBorder="1" applyAlignment="1">
      <alignment horizontal="center"/>
      <protection/>
    </xf>
    <xf numFmtId="3" fontId="0" fillId="0" borderId="5" xfId="20" applyNumberFormat="1" applyFont="1" applyBorder="1">
      <alignment/>
      <protection/>
    </xf>
    <xf numFmtId="4" fontId="0" fillId="0" borderId="5" xfId="20" applyNumberFormat="1" applyFont="1" applyBorder="1">
      <alignment/>
      <protection/>
    </xf>
    <xf numFmtId="10" fontId="0" fillId="0" borderId="38" xfId="23" applyNumberFormat="1" applyFont="1" applyBorder="1" applyAlignment="1">
      <alignment/>
    </xf>
    <xf numFmtId="0" fontId="11" fillId="0" borderId="4" xfId="20" applyFont="1" applyBorder="1">
      <alignment/>
      <protection/>
    </xf>
    <xf numFmtId="0" fontId="11" fillId="0" borderId="4" xfId="20" applyFont="1" applyBorder="1" applyAlignment="1">
      <alignment horizontal="center"/>
      <protection/>
    </xf>
    <xf numFmtId="3" fontId="11" fillId="0" borderId="4" xfId="20" applyNumberFormat="1" applyFont="1" applyBorder="1" applyAlignment="1">
      <alignment horizontal="center"/>
      <protection/>
    </xf>
    <xf numFmtId="3" fontId="11" fillId="0" borderId="4" xfId="20" applyNumberFormat="1" applyFont="1" applyBorder="1">
      <alignment/>
      <protection/>
    </xf>
    <xf numFmtId="0" fontId="0" fillId="0" borderId="0" xfId="20" applyFont="1" applyBorder="1">
      <alignment/>
      <protection/>
    </xf>
    <xf numFmtId="0" fontId="8" fillId="0" borderId="0" xfId="20" applyFont="1" applyBorder="1" applyAlignment="1">
      <alignment horizontal="center"/>
      <protection/>
    </xf>
    <xf numFmtId="3" fontId="8" fillId="0" borderId="0" xfId="20" applyNumberFormat="1" applyFont="1" applyBorder="1">
      <alignment/>
      <protection/>
    </xf>
    <xf numFmtId="3" fontId="34" fillId="0" borderId="0" xfId="20" applyNumberFormat="1" applyFont="1">
      <alignment/>
      <protection/>
    </xf>
    <xf numFmtId="4" fontId="34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8" fillId="2" borderId="27" xfId="20" applyFont="1" applyFill="1" applyBorder="1" applyAlignment="1">
      <alignment horizontal="centerContinuous" vertical="center"/>
      <protection/>
    </xf>
    <xf numFmtId="0" fontId="8" fillId="2" borderId="5" xfId="20" applyFont="1" applyFill="1" applyBorder="1" applyAlignment="1">
      <alignment horizontal="centerContinuous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34" xfId="20" applyFont="1" applyFill="1" applyBorder="1" applyAlignment="1">
      <alignment horizontal="centerContinuous" vertical="center"/>
      <protection/>
    </xf>
    <xf numFmtId="0" fontId="8" fillId="2" borderId="38" xfId="20" applyFont="1" applyFill="1" applyBorder="1" applyAlignment="1">
      <alignment vertical="center"/>
      <protection/>
    </xf>
    <xf numFmtId="0" fontId="0" fillId="2" borderId="23" xfId="20" applyFont="1" applyFill="1" applyBorder="1" applyAlignment="1">
      <alignment horizontal="center"/>
      <protection/>
    </xf>
    <xf numFmtId="0" fontId="0" fillId="2" borderId="4" xfId="20" applyFont="1" applyFill="1" applyBorder="1" applyAlignment="1">
      <alignment horizontal="center"/>
      <protection/>
    </xf>
    <xf numFmtId="0" fontId="8" fillId="2" borderId="4" xfId="20" applyFont="1" applyFill="1" applyBorder="1" applyAlignment="1">
      <alignment horizontal="centerContinuous"/>
      <protection/>
    </xf>
    <xf numFmtId="0" fontId="8" fillId="2" borderId="6" xfId="20" applyFont="1" applyFill="1" applyBorder="1" applyAlignment="1">
      <alignment horizontal="centerContinuous"/>
      <protection/>
    </xf>
    <xf numFmtId="49" fontId="8" fillId="2" borderId="28" xfId="20" applyNumberFormat="1" applyFont="1" applyFill="1" applyBorder="1" applyAlignment="1">
      <alignment horizontal="center"/>
      <protection/>
    </xf>
    <xf numFmtId="0" fontId="8" fillId="2" borderId="24" xfId="20" applyFont="1" applyFill="1" applyBorder="1" applyAlignment="1">
      <alignment horizontal="center"/>
      <protection/>
    </xf>
    <xf numFmtId="0" fontId="8" fillId="2" borderId="25" xfId="20" applyFont="1" applyFill="1" applyBorder="1" applyAlignment="1">
      <alignment horizontal="center"/>
      <protection/>
    </xf>
    <xf numFmtId="3" fontId="8" fillId="2" borderId="25" xfId="20" applyNumberFormat="1" applyFont="1" applyFill="1" applyBorder="1" applyAlignment="1">
      <alignment horizontal="center"/>
      <protection/>
    </xf>
    <xf numFmtId="0" fontId="8" fillId="2" borderId="26" xfId="23" applyNumberFormat="1" applyFont="1" applyFill="1" applyBorder="1" applyAlignment="1">
      <alignment horizontal="center"/>
    </xf>
    <xf numFmtId="19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7" fontId="0" fillId="0" borderId="2" xfId="15" applyNumberFormat="1" applyFont="1" applyFill="1" applyBorder="1" applyAlignment="1">
      <alignment horizontal="right" wrapText="1"/>
    </xf>
    <xf numFmtId="167" fontId="0" fillId="0" borderId="1" xfId="15" applyNumberFormat="1" applyFont="1" applyFill="1" applyBorder="1" applyAlignment="1">
      <alignment horizontal="right" wrapText="1"/>
    </xf>
    <xf numFmtId="167" fontId="8" fillId="0" borderId="2" xfId="15" applyNumberFormat="1" applyFont="1" applyFill="1" applyBorder="1" applyAlignment="1">
      <alignment horizontal="right" wrapText="1"/>
    </xf>
    <xf numFmtId="0" fontId="8" fillId="2" borderId="24" xfId="20" applyFont="1" applyFill="1" applyBorder="1" applyAlignment="1">
      <alignment horizontal="centerContinuous"/>
      <protection/>
    </xf>
    <xf numFmtId="0" fontId="8" fillId="2" borderId="25" xfId="20" applyFont="1" applyFill="1" applyBorder="1" applyAlignment="1">
      <alignment horizontal="centerContinuous"/>
      <protection/>
    </xf>
    <xf numFmtId="0" fontId="8" fillId="2" borderId="26" xfId="20" applyFont="1" applyFill="1" applyBorder="1" applyAlignment="1">
      <alignment horizontal="center"/>
      <protection/>
    </xf>
    <xf numFmtId="0" fontId="8" fillId="0" borderId="0" xfId="20" applyFont="1">
      <alignment/>
      <protection/>
    </xf>
    <xf numFmtId="0" fontId="8" fillId="2" borderId="0" xfId="20" applyFont="1" applyFill="1">
      <alignment/>
      <protection/>
    </xf>
    <xf numFmtId="0" fontId="0" fillId="0" borderId="7" xfId="18" applyFont="1" applyBorder="1" applyAlignment="1">
      <alignment horizontal="center"/>
      <protection/>
    </xf>
    <xf numFmtId="0" fontId="0" fillId="0" borderId="34" xfId="18" applyBorder="1">
      <alignment/>
      <protection/>
    </xf>
    <xf numFmtId="0" fontId="0" fillId="0" borderId="1" xfId="0" applyFont="1" applyBorder="1" applyAlignment="1">
      <alignment vertical="top" wrapText="1"/>
    </xf>
    <xf numFmtId="3" fontId="8" fillId="0" borderId="8" xfId="18" applyNumberFormat="1" applyFont="1" applyBorder="1" applyAlignment="1">
      <alignment horizontal="right"/>
      <protection/>
    </xf>
    <xf numFmtId="4" fontId="8" fillId="0" borderId="8" xfId="18" applyNumberFormat="1" applyFont="1" applyBorder="1" applyAlignment="1">
      <alignment horizontal="right"/>
      <protection/>
    </xf>
    <xf numFmtId="10" fontId="8" fillId="0" borderId="59" xfId="23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0" fillId="0" borderId="7" xfId="18" applyNumberFormat="1" applyFont="1" applyBorder="1" applyAlignment="1">
      <alignment horizontal="right" vertical="center"/>
      <protection/>
    </xf>
    <xf numFmtId="0" fontId="0" fillId="0" borderId="6" xfId="18" applyFont="1" applyBorder="1" applyAlignment="1">
      <alignment horizontal="center"/>
      <protection/>
    </xf>
    <xf numFmtId="3" fontId="0" fillId="0" borderId="6" xfId="18" applyNumberFormat="1" applyFont="1" applyBorder="1" applyAlignment="1">
      <alignment horizontal="right" vertical="center"/>
      <protection/>
    </xf>
    <xf numFmtId="4" fontId="0" fillId="0" borderId="6" xfId="18" applyNumberFormat="1" applyBorder="1">
      <alignment/>
      <protection/>
    </xf>
    <xf numFmtId="10" fontId="0" fillId="0" borderId="62" xfId="23" applyNumberFormat="1" applyBorder="1" applyAlignment="1">
      <alignment/>
    </xf>
    <xf numFmtId="0" fontId="16" fillId="0" borderId="7" xfId="18" applyFont="1" applyBorder="1">
      <alignment/>
      <protection/>
    </xf>
    <xf numFmtId="3" fontId="16" fillId="0" borderId="7" xfId="18" applyNumberFormat="1" applyFont="1" applyBorder="1" applyAlignment="1">
      <alignment horizontal="right" vertical="center"/>
      <protection/>
    </xf>
    <xf numFmtId="0" fontId="11" fillId="0" borderId="6" xfId="18" applyFont="1" applyBorder="1" applyAlignment="1">
      <alignment horizontal="center"/>
      <protection/>
    </xf>
    <xf numFmtId="3" fontId="11" fillId="0" borderId="6" xfId="18" applyNumberFormat="1" applyFont="1" applyBorder="1" applyAlignment="1">
      <alignment horizontal="right" vertical="center"/>
      <protection/>
    </xf>
    <xf numFmtId="4" fontId="11" fillId="0" borderId="6" xfId="18" applyNumberFormat="1" applyFont="1" applyBorder="1" applyAlignment="1">
      <alignment horizontal="right" vertical="center"/>
      <protection/>
    </xf>
    <xf numFmtId="10" fontId="11" fillId="0" borderId="62" xfId="23" applyNumberFormat="1" applyFont="1" applyBorder="1" applyAlignment="1">
      <alignment/>
    </xf>
    <xf numFmtId="0" fontId="51" fillId="3" borderId="0" xfId="0" applyFont="1" applyFill="1" applyBorder="1" applyAlignment="1">
      <alignment vertical="center" wrapText="1"/>
    </xf>
    <xf numFmtId="0" fontId="52" fillId="3" borderId="0" xfId="0" applyFont="1" applyFill="1" applyBorder="1" applyAlignment="1">
      <alignment vertical="center" wrapText="1"/>
    </xf>
    <xf numFmtId="0" fontId="0" fillId="4" borderId="0" xfId="0" applyFont="1" applyFill="1" applyAlignment="1">
      <alignment/>
    </xf>
    <xf numFmtId="0" fontId="8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43" fontId="4" fillId="0" borderId="7" xfId="15" applyFont="1" applyFill="1" applyBorder="1" applyAlignment="1">
      <alignment horizontal="right" vertical="center" wrapText="1"/>
    </xf>
    <xf numFmtId="43" fontId="4" fillId="0" borderId="1" xfId="15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167" fontId="4" fillId="3" borderId="11" xfId="15" applyNumberFormat="1" applyFont="1" applyFill="1" applyBorder="1" applyAlignment="1">
      <alignment horizontal="right" vertical="center" wrapText="1"/>
    </xf>
    <xf numFmtId="43" fontId="4" fillId="0" borderId="11" xfId="15" applyFont="1" applyFill="1" applyBorder="1" applyAlignment="1">
      <alignment horizontal="right" vertical="center" wrapText="1"/>
    </xf>
    <xf numFmtId="43" fontId="4" fillId="0" borderId="44" xfId="15" applyFont="1" applyFill="1" applyBorder="1" applyAlignment="1">
      <alignment horizontal="right" vertical="center"/>
    </xf>
    <xf numFmtId="10" fontId="0" fillId="0" borderId="32" xfId="23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3" fontId="1" fillId="3" borderId="64" xfId="15" applyNumberFormat="1" applyFont="1" applyFill="1" applyBorder="1" applyAlignment="1">
      <alignment horizontal="right" vertical="center" wrapText="1"/>
    </xf>
    <xf numFmtId="43" fontId="1" fillId="0" borderId="72" xfId="15" applyFont="1" applyFill="1" applyBorder="1" applyAlignment="1">
      <alignment horizontal="right" vertical="center" wrapText="1"/>
    </xf>
    <xf numFmtId="43" fontId="1" fillId="0" borderId="64" xfId="15" applyFont="1" applyFill="1" applyBorder="1" applyAlignment="1">
      <alignment horizontal="right" vertical="center" wrapText="1"/>
    </xf>
    <xf numFmtId="43" fontId="1" fillId="0" borderId="73" xfId="15" applyFont="1" applyFill="1" applyBorder="1" applyAlignment="1">
      <alignment horizontal="right" vertical="center" wrapText="1"/>
    </xf>
    <xf numFmtId="10" fontId="8" fillId="0" borderId="74" xfId="23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2" fillId="0" borderId="11" xfId="15" applyFont="1" applyFill="1" applyBorder="1" applyAlignment="1">
      <alignment horizontal="right" vertical="center" wrapText="1"/>
    </xf>
    <xf numFmtId="43" fontId="12" fillId="0" borderId="44" xfId="15" applyFont="1" applyFill="1" applyBorder="1" applyAlignment="1">
      <alignment horizontal="right" vertical="center"/>
    </xf>
    <xf numFmtId="43" fontId="0" fillId="0" borderId="0" xfId="0" applyNumberFormat="1" applyFont="1" applyAlignment="1">
      <alignment/>
    </xf>
    <xf numFmtId="0" fontId="4" fillId="0" borderId="7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167" fontId="4" fillId="0" borderId="11" xfId="15" applyNumberFormat="1" applyFont="1" applyFill="1" applyBorder="1" applyAlignment="1">
      <alignment horizontal="right" vertical="center" wrapText="1"/>
    </xf>
    <xf numFmtId="10" fontId="0" fillId="0" borderId="32" xfId="23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10" fontId="0" fillId="0" borderId="37" xfId="23" applyNumberFormat="1" applyFont="1" applyFill="1" applyBorder="1" applyAlignment="1">
      <alignment vertical="center"/>
    </xf>
    <xf numFmtId="167" fontId="4" fillId="0" borderId="7" xfId="15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43" fontId="53" fillId="0" borderId="0" xfId="0" applyNumberFormat="1" applyFont="1" applyFill="1" applyAlignment="1">
      <alignment/>
    </xf>
    <xf numFmtId="43" fontId="16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15" fillId="0" borderId="0" xfId="20" applyFont="1">
      <alignment/>
      <protection/>
    </xf>
    <xf numFmtId="0" fontId="37" fillId="0" borderId="0" xfId="18" applyFont="1" applyAlignment="1">
      <alignment vertical="center" wrapText="1"/>
      <protection/>
    </xf>
    <xf numFmtId="0" fontId="8" fillId="4" borderId="0" xfId="0" applyFont="1" applyFill="1" applyAlignment="1">
      <alignment/>
    </xf>
    <xf numFmtId="0" fontId="28" fillId="5" borderId="58" xfId="0" applyFont="1" applyFill="1" applyBorder="1" applyAlignment="1">
      <alignment horizontal="center" wrapText="1"/>
    </xf>
    <xf numFmtId="0" fontId="28" fillId="5" borderId="6" xfId="0" applyFont="1" applyFill="1" applyBorder="1" applyAlignment="1">
      <alignment horizont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 wrapText="1"/>
    </xf>
    <xf numFmtId="167" fontId="4" fillId="0" borderId="8" xfId="15" applyNumberFormat="1" applyFont="1" applyFill="1" applyBorder="1" applyAlignment="1">
      <alignment horizontal="right" vertical="center" wrapText="1"/>
    </xf>
    <xf numFmtId="43" fontId="4" fillId="0" borderId="8" xfId="15" applyFont="1" applyFill="1" applyBorder="1" applyAlignment="1">
      <alignment horizontal="right" vertical="center" wrapText="1"/>
    </xf>
    <xf numFmtId="43" fontId="4" fillId="0" borderId="2" xfId="15" applyFont="1" applyFill="1" applyBorder="1" applyAlignment="1">
      <alignment horizontal="right" vertical="center"/>
    </xf>
    <xf numFmtId="10" fontId="0" fillId="0" borderId="31" xfId="23" applyNumberFormat="1" applyFont="1" applyFill="1" applyBorder="1" applyAlignment="1">
      <alignment vertical="center"/>
    </xf>
    <xf numFmtId="0" fontId="0" fillId="0" borderId="57" xfId="0" applyFont="1" applyBorder="1" applyAlignment="1">
      <alignment wrapText="1"/>
    </xf>
    <xf numFmtId="0" fontId="7" fillId="2" borderId="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7" fillId="2" borderId="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20" xfId="20" applyBorder="1">
      <alignment/>
      <protection/>
    </xf>
    <xf numFmtId="0" fontId="4" fillId="0" borderId="21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10" fontId="10" fillId="0" borderId="31" xfId="23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76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 wrapText="1"/>
    </xf>
    <xf numFmtId="3" fontId="4" fillId="0" borderId="54" xfId="0" applyNumberFormat="1" applyFont="1" applyFill="1" applyBorder="1" applyAlignment="1">
      <alignment horizontal="right" vertical="center"/>
    </xf>
    <xf numFmtId="4" fontId="4" fillId="0" borderId="51" xfId="0" applyNumberFormat="1" applyFont="1" applyFill="1" applyBorder="1" applyAlignment="1">
      <alignment horizontal="right" vertical="center"/>
    </xf>
    <xf numFmtId="4" fontId="4" fillId="0" borderId="51" xfId="0" applyNumberFormat="1" applyFont="1" applyBorder="1" applyAlignment="1">
      <alignment vertical="center"/>
    </xf>
    <xf numFmtId="4" fontId="12" fillId="0" borderId="54" xfId="0" applyNumberFormat="1" applyFont="1" applyBorder="1" applyAlignment="1">
      <alignment vertical="center"/>
    </xf>
    <xf numFmtId="10" fontId="4" fillId="0" borderId="29" xfId="23" applyNumberFormat="1" applyFont="1" applyFill="1" applyBorder="1" applyAlignment="1">
      <alignment horizontal="right" vertical="center" wrapText="1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3" fontId="7" fillId="2" borderId="70" xfId="0" applyNumberFormat="1" applyFont="1" applyFill="1" applyBorder="1" applyAlignment="1">
      <alignment horizontal="center" vertical="center"/>
    </xf>
    <xf numFmtId="3" fontId="7" fillId="2" borderId="78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right" vertical="center"/>
    </xf>
    <xf numFmtId="4" fontId="4" fillId="0" borderId="54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right" vertical="center"/>
    </xf>
    <xf numFmtId="4" fontId="4" fillId="0" borderId="51" xfId="0" applyNumberFormat="1" applyFont="1" applyBorder="1" applyAlignment="1">
      <alignment horizontal="right" vertical="center"/>
    </xf>
    <xf numFmtId="10" fontId="4" fillId="0" borderId="30" xfId="23" applyNumberFormat="1" applyFont="1" applyFill="1" applyBorder="1" applyAlignment="1">
      <alignment horizontal="right" vertical="center" wrapText="1"/>
    </xf>
    <xf numFmtId="3" fontId="4" fillId="0" borderId="54" xfId="15" applyNumberFormat="1" applyFont="1" applyBorder="1" applyAlignment="1">
      <alignment horizontal="right" vertical="center" wrapText="1"/>
    </xf>
    <xf numFmtId="4" fontId="4" fillId="0" borderId="51" xfId="15" applyNumberFormat="1" applyFont="1" applyBorder="1" applyAlignment="1">
      <alignment horizontal="right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right" vertical="center"/>
    </xf>
    <xf numFmtId="4" fontId="4" fillId="0" borderId="54" xfId="0" applyNumberFormat="1" applyFont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wrapText="1"/>
    </xf>
    <xf numFmtId="4" fontId="12" fillId="0" borderId="7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16" fillId="0" borderId="27" xfId="18" applyFont="1" applyBorder="1" applyAlignment="1">
      <alignment horizontal="center"/>
      <protection/>
    </xf>
    <xf numFmtId="3" fontId="16" fillId="0" borderId="5" xfId="18" applyNumberFormat="1" applyFont="1" applyBorder="1" applyAlignment="1">
      <alignment horizontal="right" vertical="center"/>
      <protection/>
    </xf>
    <xf numFmtId="3" fontId="16" fillId="0" borderId="34" xfId="18" applyNumberFormat="1" applyFont="1" applyBorder="1">
      <alignment/>
      <protection/>
    </xf>
    <xf numFmtId="10" fontId="16" fillId="0" borderId="67" xfId="23" applyNumberFormat="1" applyFont="1" applyBorder="1" applyAlignment="1">
      <alignment/>
    </xf>
    <xf numFmtId="9" fontId="7" fillId="0" borderId="28" xfId="23" applyFont="1" applyBorder="1" applyAlignment="1">
      <alignment/>
    </xf>
    <xf numFmtId="10" fontId="0" fillId="0" borderId="30" xfId="23" applyNumberFormat="1" applyFont="1" applyBorder="1" applyAlignment="1">
      <alignment/>
    </xf>
    <xf numFmtId="10" fontId="0" fillId="0" borderId="37" xfId="23" applyNumberFormat="1" applyFont="1" applyBorder="1" applyAlignment="1">
      <alignment/>
    </xf>
    <xf numFmtId="10" fontId="7" fillId="0" borderId="28" xfId="23" applyNumberFormat="1" applyFont="1" applyBorder="1" applyAlignment="1">
      <alignment/>
    </xf>
    <xf numFmtId="49" fontId="7" fillId="2" borderId="30" xfId="0" applyNumberFormat="1" applyFont="1" applyFill="1" applyBorder="1" applyAlignment="1">
      <alignment horizontal="center"/>
    </xf>
    <xf numFmtId="10" fontId="7" fillId="0" borderId="36" xfId="0" applyNumberFormat="1" applyFont="1" applyBorder="1" applyAlignment="1">
      <alignment/>
    </xf>
    <xf numFmtId="3" fontId="7" fillId="2" borderId="26" xfId="0" applyNumberFormat="1" applyFont="1" applyFill="1" applyBorder="1" applyAlignment="1">
      <alignment horizontal="center"/>
    </xf>
    <xf numFmtId="4" fontId="26" fillId="0" borderId="4" xfId="0" applyNumberFormat="1" applyFont="1" applyBorder="1" applyAlignment="1">
      <alignment/>
    </xf>
    <xf numFmtId="10" fontId="0" fillId="0" borderId="39" xfId="23" applyNumberFormat="1" applyFont="1" applyBorder="1" applyAlignment="1">
      <alignment/>
    </xf>
    <xf numFmtId="10" fontId="0" fillId="0" borderId="0" xfId="23" applyNumberFormat="1" applyFont="1" applyBorder="1" applyAlignment="1">
      <alignment/>
    </xf>
    <xf numFmtId="10" fontId="0" fillId="0" borderId="80" xfId="23" applyNumberFormat="1" applyFont="1" applyBorder="1" applyAlignment="1">
      <alignment/>
    </xf>
    <xf numFmtId="10" fontId="0" fillId="0" borderId="29" xfId="23" applyNumberFormat="1" applyFont="1" applyBorder="1" applyAlignment="1">
      <alignment/>
    </xf>
    <xf numFmtId="10" fontId="0" fillId="0" borderId="38" xfId="23" applyNumberFormat="1" applyFont="1" applyBorder="1" applyAlignment="1">
      <alignment/>
    </xf>
    <xf numFmtId="1" fontId="7" fillId="2" borderId="66" xfId="0" applyNumberFormat="1" applyFont="1" applyFill="1" applyBorder="1" applyAlignment="1">
      <alignment horizontal="center"/>
    </xf>
    <xf numFmtId="1" fontId="7" fillId="2" borderId="44" xfId="0" applyNumberFormat="1" applyFont="1" applyFill="1" applyBorder="1" applyAlignment="1">
      <alignment horizontal="center"/>
    </xf>
    <xf numFmtId="1" fontId="7" fillId="2" borderId="44" xfId="0" applyNumberFormat="1" applyFont="1" applyFill="1" applyBorder="1" applyAlignment="1">
      <alignment horizontal="centerContinuous"/>
    </xf>
    <xf numFmtId="49" fontId="7" fillId="2" borderId="32" xfId="0" applyNumberFormat="1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6" xfId="0" applyFont="1" applyBorder="1" applyAlignment="1">
      <alignment/>
    </xf>
    <xf numFmtId="4" fontId="22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/>
    </xf>
    <xf numFmtId="10" fontId="8" fillId="0" borderId="28" xfId="23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5" xfId="0" applyFont="1" applyBorder="1" applyAlignment="1">
      <alignment/>
    </xf>
    <xf numFmtId="4" fontId="22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1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31" xfId="0" applyFont="1" applyFill="1" applyBorder="1" applyAlignment="1">
      <alignment horizont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2" borderId="38" xfId="0" applyFont="1" applyFill="1" applyBorder="1" applyAlignment="1">
      <alignment horizontal="center" wrapText="1"/>
    </xf>
    <xf numFmtId="0" fontId="0" fillId="0" borderId="6" xfId="20" applyFont="1" applyBorder="1">
      <alignment/>
      <protection/>
    </xf>
    <xf numFmtId="0" fontId="10" fillId="0" borderId="75" xfId="18" applyFont="1" applyBorder="1" applyAlignment="1">
      <alignment horizontal="center"/>
      <protection/>
    </xf>
    <xf numFmtId="0" fontId="11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1" xfId="18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1" fillId="2" borderId="70" xfId="0" applyNumberFormat="1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4" fontId="1" fillId="2" borderId="34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2" borderId="6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78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8" fillId="2" borderId="25" xfId="0" applyNumberFormat="1" applyFont="1" applyFill="1" applyBorder="1" applyAlignment="1">
      <alignment horizontal="center"/>
    </xf>
    <xf numFmtId="4" fontId="8" fillId="2" borderId="78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9" fontId="8" fillId="2" borderId="38" xfId="0" applyNumberFormat="1" applyFont="1" applyFill="1" applyBorder="1" applyAlignment="1">
      <alignment horizontal="center" vertical="center" wrapText="1"/>
    </xf>
    <xf numFmtId="9" fontId="8" fillId="2" borderId="28" xfId="0" applyNumberFormat="1" applyFont="1" applyFill="1" applyBorder="1" applyAlignment="1">
      <alignment horizontal="center" vertical="center" wrapText="1"/>
    </xf>
    <xf numFmtId="9" fontId="8" fillId="2" borderId="31" xfId="0" applyNumberFormat="1" applyFont="1" applyFill="1" applyBorder="1" applyAlignment="1">
      <alignment horizontal="center" vertical="center" wrapText="1"/>
    </xf>
    <xf numFmtId="10" fontId="1" fillId="0" borderId="37" xfId="23" applyNumberFormat="1" applyFont="1" applyBorder="1" applyAlignment="1">
      <alignment horizontal="right" vertical="center"/>
    </xf>
    <xf numFmtId="10" fontId="1" fillId="0" borderId="30" xfId="23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28" fillId="0" borderId="50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10" fontId="8" fillId="0" borderId="38" xfId="23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38" xfId="21" applyFont="1" applyFill="1" applyBorder="1" applyAlignment="1">
      <alignment horizontal="center" vertical="center" wrapText="1"/>
      <protection/>
    </xf>
    <xf numFmtId="0" fontId="8" fillId="2" borderId="28" xfId="21" applyFont="1" applyFill="1" applyBorder="1" applyAlignment="1">
      <alignment horizontal="center" vertical="center" wrapText="1"/>
      <protection/>
    </xf>
    <xf numFmtId="0" fontId="8" fillId="2" borderId="31" xfId="21" applyFont="1" applyFill="1" applyBorder="1" applyAlignment="1">
      <alignment horizontal="center" vertical="center" wrapText="1"/>
      <protection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20" applyFont="1" applyAlignment="1">
      <alignment horizontal="left"/>
      <protection/>
    </xf>
    <xf numFmtId="0" fontId="11" fillId="0" borderId="0" xfId="20" applyFont="1" applyAlignment="1">
      <alignment horizontal="left"/>
      <protection/>
    </xf>
    <xf numFmtId="0" fontId="11" fillId="0" borderId="0" xfId="18" applyFont="1" applyAlignment="1">
      <alignment horizontal="left" vertical="center" wrapText="1"/>
      <protection/>
    </xf>
    <xf numFmtId="0" fontId="37" fillId="0" borderId="0" xfId="18" applyFont="1" applyAlignment="1">
      <alignment horizontal="left" vertical="center" wrapText="1"/>
      <protection/>
    </xf>
    <xf numFmtId="0" fontId="11" fillId="0" borderId="12" xfId="18" applyFont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center" vertical="center"/>
      <protection/>
    </xf>
    <xf numFmtId="0" fontId="11" fillId="0" borderId="0" xfId="18" applyFont="1" applyAlignment="1">
      <alignment horizontal="left"/>
      <protection/>
    </xf>
    <xf numFmtId="0" fontId="8" fillId="2" borderId="63" xfId="18" applyFont="1" applyFill="1" applyBorder="1" applyAlignment="1">
      <alignment horizontal="center" vertical="center"/>
      <protection/>
    </xf>
    <xf numFmtId="0" fontId="8" fillId="2" borderId="46" xfId="18" applyFont="1" applyFill="1" applyBorder="1" applyAlignment="1">
      <alignment horizontal="center" vertical="center"/>
      <protection/>
    </xf>
    <xf numFmtId="0" fontId="8" fillId="2" borderId="49" xfId="18" applyFont="1" applyFill="1" applyBorder="1" applyAlignment="1">
      <alignment horizontal="center" vertical="center"/>
      <protection/>
    </xf>
    <xf numFmtId="0" fontId="8" fillId="2" borderId="5" xfId="18" applyFont="1" applyFill="1" applyBorder="1" applyAlignment="1">
      <alignment horizontal="center" vertical="center"/>
      <protection/>
    </xf>
    <xf numFmtId="0" fontId="8" fillId="2" borderId="1" xfId="18" applyFont="1" applyFill="1" applyBorder="1" applyAlignment="1">
      <alignment horizontal="center" vertical="center"/>
      <protection/>
    </xf>
    <xf numFmtId="0" fontId="8" fillId="2" borderId="2" xfId="18" applyFont="1" applyFill="1" applyBorder="1" applyAlignment="1">
      <alignment horizontal="center" vertical="center"/>
      <protection/>
    </xf>
    <xf numFmtId="0" fontId="8" fillId="2" borderId="34" xfId="18" applyFont="1" applyFill="1" applyBorder="1" applyAlignment="1">
      <alignment horizontal="center" vertical="center"/>
      <protection/>
    </xf>
    <xf numFmtId="0" fontId="8" fillId="2" borderId="7" xfId="18" applyFont="1" applyFill="1" applyBorder="1" applyAlignment="1">
      <alignment horizontal="center" vertical="center"/>
      <protection/>
    </xf>
    <xf numFmtId="0" fontId="8" fillId="2" borderId="8" xfId="18" applyFont="1" applyFill="1" applyBorder="1" applyAlignment="1">
      <alignment horizontal="center" vertical="center"/>
      <protection/>
    </xf>
    <xf numFmtId="0" fontId="8" fillId="2" borderId="34" xfId="18" applyFont="1" applyFill="1" applyBorder="1" applyAlignment="1">
      <alignment horizontal="center" vertical="center" wrapText="1"/>
      <protection/>
    </xf>
    <xf numFmtId="0" fontId="8" fillId="2" borderId="7" xfId="18" applyFont="1" applyFill="1" applyBorder="1" applyAlignment="1">
      <alignment horizontal="center" vertical="center" wrapText="1"/>
      <protection/>
    </xf>
    <xf numFmtId="0" fontId="8" fillId="2" borderId="8" xfId="18" applyFont="1" applyFill="1" applyBorder="1" applyAlignment="1">
      <alignment horizontal="center" vertical="center" wrapText="1"/>
      <protection/>
    </xf>
    <xf numFmtId="0" fontId="8" fillId="2" borderId="34" xfId="18" applyFont="1" applyFill="1" applyBorder="1" applyAlignment="1">
      <alignment horizontal="center" vertical="center" wrapText="1"/>
      <protection/>
    </xf>
    <xf numFmtId="0" fontId="8" fillId="2" borderId="7" xfId="18" applyFont="1" applyFill="1" applyBorder="1" applyAlignment="1">
      <alignment horizontal="center" vertical="center" wrapText="1"/>
      <protection/>
    </xf>
    <xf numFmtId="0" fontId="8" fillId="2" borderId="8" xfId="18" applyFont="1" applyFill="1" applyBorder="1" applyAlignment="1">
      <alignment horizontal="center" vertical="center" wrapText="1"/>
      <protection/>
    </xf>
    <xf numFmtId="0" fontId="8" fillId="2" borderId="67" xfId="18" applyFont="1" applyFill="1" applyBorder="1" applyAlignment="1">
      <alignment horizontal="center" vertical="center" wrapText="1"/>
      <protection/>
    </xf>
    <xf numFmtId="0" fontId="8" fillId="2" borderId="41" xfId="18" applyFont="1" applyFill="1" applyBorder="1" applyAlignment="1">
      <alignment horizontal="center" vertical="center" wrapText="1"/>
      <protection/>
    </xf>
    <xf numFmtId="0" fontId="8" fillId="2" borderId="59" xfId="1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18" applyFont="1" applyAlignment="1">
      <alignment horizontal="justify" vertical="center" wrapText="1"/>
      <protection/>
    </xf>
    <xf numFmtId="0" fontId="8" fillId="5" borderId="38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vertical="center" wrapText="1"/>
    </xf>
    <xf numFmtId="0" fontId="8" fillId="5" borderId="69" xfId="0" applyFont="1" applyFill="1" applyBorder="1" applyAlignment="1">
      <alignment horizontal="center" vertical="center" wrapText="1"/>
    </xf>
    <xf numFmtId="0" fontId="8" fillId="5" borderId="75" xfId="0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9" fillId="4" borderId="81" xfId="0" applyFont="1" applyFill="1" applyBorder="1" applyAlignment="1">
      <alignment horizontal="center" vertical="center" wrapText="1"/>
    </xf>
    <xf numFmtId="0" fontId="9" fillId="4" borderId="82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78" xfId="0" applyFont="1" applyFill="1" applyBorder="1" applyAlignment="1">
      <alignment vertical="center" wrapText="1"/>
    </xf>
  </cellXfs>
  <cellStyles count="12">
    <cellStyle name="Normal" xfId="0"/>
    <cellStyle name="Comma" xfId="15"/>
    <cellStyle name="Comma [0]" xfId="16"/>
    <cellStyle name="Hyperlink" xfId="17"/>
    <cellStyle name="Normalny_część tabelaryczna" xfId="18"/>
    <cellStyle name="Normalny_Informacja o wykonaniu budżetu za 9 m-cy" xfId="19"/>
    <cellStyle name="Normalny_Informacja o wykonaniu budżetu za I kwartał 2005" xfId="20"/>
    <cellStyle name="Normalny_Jedn.pomocnicze, zakłady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476"/>
  <sheetViews>
    <sheetView showGridLines="0" tabSelected="1" view="pageBreakPreview" zoomScale="85" zoomScaleNormal="75" zoomScaleSheetLayoutView="85" workbookViewId="0" topLeftCell="A1">
      <selection activeCell="A2" sqref="A2"/>
    </sheetView>
  </sheetViews>
  <sheetFormatPr defaultColWidth="9.00390625" defaultRowHeight="12"/>
  <cols>
    <col min="1" max="1" width="5.625" style="290" customWidth="1"/>
    <col min="2" max="2" width="10.625" style="290" customWidth="1"/>
    <col min="3" max="3" width="9.125" style="1" customWidth="1"/>
    <col min="4" max="4" width="72.00390625" style="291" customWidth="1"/>
    <col min="5" max="5" width="20.75390625" style="489" customWidth="1"/>
    <col min="6" max="7" width="20.75390625" style="348" customWidth="1"/>
    <col min="8" max="8" width="20.75390625" style="490" customWidth="1"/>
    <col min="9" max="9" width="17.125" style="290" customWidth="1"/>
    <col min="10" max="10" width="19.625" style="567" customWidth="1"/>
    <col min="11" max="11" width="14.625" style="567" bestFit="1" customWidth="1"/>
    <col min="12" max="12" width="14.625" style="290" bestFit="1" customWidth="1"/>
    <col min="13" max="13" width="13.375" style="290" bestFit="1" customWidth="1"/>
    <col min="14" max="16384" width="9.125" style="290" customWidth="1"/>
  </cols>
  <sheetData>
    <row r="1" spans="1:10" ht="14.25" customHeight="1">
      <c r="A1" s="586"/>
      <c r="B1" s="586" t="s">
        <v>394</v>
      </c>
      <c r="C1" s="586"/>
      <c r="D1" s="586"/>
      <c r="E1" s="586"/>
      <c r="F1" s="586"/>
      <c r="G1" s="586"/>
      <c r="H1" s="586"/>
      <c r="I1" s="586"/>
      <c r="J1" s="586"/>
    </row>
    <row r="2" spans="1:10" ht="14.25" customHeight="1">
      <c r="A2" s="586"/>
      <c r="B2" s="586" t="s">
        <v>405</v>
      </c>
      <c r="C2" s="586"/>
      <c r="D2" s="586"/>
      <c r="E2" s="586"/>
      <c r="F2" s="586"/>
      <c r="G2" s="586"/>
      <c r="H2" s="586"/>
      <c r="I2" s="586"/>
      <c r="J2" s="586"/>
    </row>
    <row r="3" spans="1:10" ht="15">
      <c r="A3" s="587"/>
      <c r="B3" s="588" t="s">
        <v>625</v>
      </c>
      <c r="C3" s="587"/>
      <c r="D3" s="587"/>
      <c r="E3" s="587"/>
      <c r="F3" s="587"/>
      <c r="G3" s="587"/>
      <c r="H3" s="587"/>
      <c r="I3" s="587"/>
      <c r="J3" s="587"/>
    </row>
    <row r="4" spans="5:9" ht="12.75" thickBot="1">
      <c r="E4" s="493"/>
      <c r="F4" s="350"/>
      <c r="G4" s="494"/>
      <c r="H4" s="495"/>
      <c r="I4" s="293" t="s">
        <v>57</v>
      </c>
    </row>
    <row r="5" spans="2:11" s="669" customFormat="1" ht="14.25" customHeight="1">
      <c r="B5" s="1369" t="s">
        <v>58</v>
      </c>
      <c r="C5" s="1374" t="s">
        <v>59</v>
      </c>
      <c r="D5" s="1375"/>
      <c r="E5" s="1353" t="s">
        <v>60</v>
      </c>
      <c r="F5" s="1361" t="s">
        <v>344</v>
      </c>
      <c r="G5" s="1357" t="s">
        <v>61</v>
      </c>
      <c r="H5" s="1358"/>
      <c r="I5" s="1359" t="s">
        <v>343</v>
      </c>
      <c r="J5" s="670"/>
      <c r="K5" s="670"/>
    </row>
    <row r="6" spans="1:11" s="669" customFormat="1" ht="12.75">
      <c r="A6" s="671"/>
      <c r="B6" s="1370"/>
      <c r="C6" s="1376"/>
      <c r="D6" s="1377"/>
      <c r="E6" s="1354"/>
      <c r="F6" s="1362"/>
      <c r="G6" s="207" t="s">
        <v>62</v>
      </c>
      <c r="H6" s="208" t="s">
        <v>63</v>
      </c>
      <c r="I6" s="1360"/>
      <c r="J6" s="670"/>
      <c r="K6" s="670"/>
    </row>
    <row r="7" spans="1:11" s="680" customFormat="1" ht="12" thickBot="1">
      <c r="A7" s="672"/>
      <c r="B7" s="673">
        <v>1</v>
      </c>
      <c r="C7" s="1367">
        <v>2</v>
      </c>
      <c r="D7" s="1368"/>
      <c r="E7" s="674">
        <v>3</v>
      </c>
      <c r="F7" s="675">
        <v>4</v>
      </c>
      <c r="G7" s="676">
        <v>5</v>
      </c>
      <c r="H7" s="677">
        <v>6</v>
      </c>
      <c r="I7" s="678">
        <v>7</v>
      </c>
      <c r="J7" s="679"/>
      <c r="K7" s="679"/>
    </row>
    <row r="8" spans="1:11" ht="31.5" customHeight="1">
      <c r="A8" s="291"/>
      <c r="B8" s="297" t="s">
        <v>264</v>
      </c>
      <c r="C8" s="1365" t="s">
        <v>265</v>
      </c>
      <c r="D8" s="1366"/>
      <c r="E8" s="298">
        <f>E338</f>
        <v>5403.31</v>
      </c>
      <c r="F8" s="298">
        <f>F338</f>
        <v>5403.31</v>
      </c>
      <c r="G8" s="298">
        <f>G338</f>
        <v>5403.31</v>
      </c>
      <c r="H8" s="298">
        <f>H338</f>
        <v>0</v>
      </c>
      <c r="I8" s="205">
        <f>SUM(F8/E8)</f>
        <v>1</v>
      </c>
      <c r="J8" s="570"/>
      <c r="K8" s="570"/>
    </row>
    <row r="9" spans="1:11" ht="31.5" customHeight="1">
      <c r="A9" s="291"/>
      <c r="B9" s="300">
        <v>400</v>
      </c>
      <c r="C9" s="1365" t="s">
        <v>64</v>
      </c>
      <c r="D9" s="1366"/>
      <c r="E9" s="301">
        <f>SUM(E55)</f>
        <v>80000</v>
      </c>
      <c r="F9" s="298">
        <f>SUM(F55)</f>
        <v>0</v>
      </c>
      <c r="G9" s="298">
        <f>SUM(G55)</f>
        <v>0</v>
      </c>
      <c r="H9" s="298">
        <f>SUM(H55)</f>
        <v>0</v>
      </c>
      <c r="I9" s="168">
        <f>SUM(F9/E9)</f>
        <v>0</v>
      </c>
      <c r="J9" s="570"/>
      <c r="K9" s="570"/>
    </row>
    <row r="10" spans="1:11" ht="14.25" customHeight="1">
      <c r="A10" s="291"/>
      <c r="B10" s="302"/>
      <c r="C10" s="2"/>
      <c r="D10" s="303"/>
      <c r="E10" s="304"/>
      <c r="F10" s="305"/>
      <c r="G10" s="306"/>
      <c r="H10" s="305"/>
      <c r="I10" s="166"/>
      <c r="J10" s="570"/>
      <c r="K10" s="570"/>
    </row>
    <row r="11" spans="1:11" ht="14.25" customHeight="1">
      <c r="A11" s="291"/>
      <c r="B11" s="300">
        <v>600</v>
      </c>
      <c r="C11" s="3" t="s">
        <v>65</v>
      </c>
      <c r="D11" s="307"/>
      <c r="E11" s="301">
        <f>SUM(E59+E413)</f>
        <v>550468</v>
      </c>
      <c r="F11" s="298">
        <f>SUM(F59+F413)</f>
        <v>225467.56</v>
      </c>
      <c r="G11" s="298">
        <f>SUM(G59+G413)</f>
        <v>225467.56</v>
      </c>
      <c r="H11" s="298">
        <f>SUM(H59+H413)</f>
        <v>0</v>
      </c>
      <c r="I11" s="168">
        <f>SUM(F11/E11)</f>
        <v>0.40959249220663146</v>
      </c>
      <c r="J11" s="570"/>
      <c r="K11" s="570"/>
    </row>
    <row r="12" spans="1:11" ht="14.25" customHeight="1">
      <c r="A12" s="291"/>
      <c r="B12" s="302"/>
      <c r="C12" s="2"/>
      <c r="D12" s="303"/>
      <c r="E12" s="304"/>
      <c r="F12" s="305"/>
      <c r="G12" s="306"/>
      <c r="H12" s="305"/>
      <c r="I12" s="166"/>
      <c r="J12" s="570"/>
      <c r="K12" s="570"/>
    </row>
    <row r="13" spans="1:11" ht="14.25" customHeight="1">
      <c r="A13" s="291"/>
      <c r="B13" s="300">
        <v>630</v>
      </c>
      <c r="C13" s="3" t="s">
        <v>269</v>
      </c>
      <c r="D13" s="307"/>
      <c r="E13" s="301">
        <f>SUM(E65)</f>
        <v>0</v>
      </c>
      <c r="F13" s="298">
        <f>SUM(F65)</f>
        <v>0.01</v>
      </c>
      <c r="G13" s="298">
        <f>SUM(G65)</f>
        <v>0.01</v>
      </c>
      <c r="H13" s="298">
        <f>SUM(H65)</f>
        <v>0</v>
      </c>
      <c r="I13" s="168"/>
      <c r="J13" s="570"/>
      <c r="K13" s="570"/>
    </row>
    <row r="14" spans="1:11" ht="14.25" customHeight="1">
      <c r="A14" s="291"/>
      <c r="B14" s="302"/>
      <c r="C14" s="2"/>
      <c r="D14" s="303"/>
      <c r="E14" s="304"/>
      <c r="F14" s="305"/>
      <c r="G14" s="306"/>
      <c r="H14" s="305"/>
      <c r="I14" s="166"/>
      <c r="J14" s="570"/>
      <c r="K14" s="570"/>
    </row>
    <row r="15" spans="1:11" ht="14.25" customHeight="1">
      <c r="A15" s="291"/>
      <c r="B15" s="302">
        <v>700</v>
      </c>
      <c r="C15" s="2" t="s">
        <v>66</v>
      </c>
      <c r="D15" s="303"/>
      <c r="E15" s="301">
        <f>SUM(E70)</f>
        <v>9426374</v>
      </c>
      <c r="F15" s="298">
        <f>SUM(F70)</f>
        <v>4798237.7</v>
      </c>
      <c r="G15" s="298">
        <f>SUM(G70)</f>
        <v>229200.81</v>
      </c>
      <c r="H15" s="298">
        <f>SUM(H70)</f>
        <v>4569036.890000001</v>
      </c>
      <c r="I15" s="168">
        <f>SUM(F15/E15)</f>
        <v>0.5090226316078696</v>
      </c>
      <c r="J15" s="570"/>
      <c r="K15" s="570"/>
    </row>
    <row r="16" spans="1:11" ht="14.25" customHeight="1">
      <c r="A16" s="291"/>
      <c r="B16" s="308"/>
      <c r="C16" s="4"/>
      <c r="D16" s="309"/>
      <c r="E16" s="310"/>
      <c r="F16" s="311"/>
      <c r="G16" s="312"/>
      <c r="H16" s="311"/>
      <c r="I16" s="166"/>
      <c r="J16" s="570"/>
      <c r="K16" s="570"/>
    </row>
    <row r="17" spans="1:11" ht="14.25" customHeight="1">
      <c r="A17" s="291"/>
      <c r="B17" s="300">
        <v>710</v>
      </c>
      <c r="C17" s="3" t="s">
        <v>270</v>
      </c>
      <c r="D17" s="307"/>
      <c r="E17" s="298">
        <f>E88</f>
        <v>4817</v>
      </c>
      <c r="F17" s="298">
        <f>F88</f>
        <v>24761.77</v>
      </c>
      <c r="G17" s="298">
        <f>G88</f>
        <v>24761.77</v>
      </c>
      <c r="H17" s="298">
        <f>SUM(H95)</f>
        <v>0</v>
      </c>
      <c r="I17" s="168">
        <f>SUM(F17/E17)</f>
        <v>5.140496159435333</v>
      </c>
      <c r="J17" s="570"/>
      <c r="K17" s="570"/>
    </row>
    <row r="18" spans="1:11" ht="14.25" customHeight="1">
      <c r="A18" s="291"/>
      <c r="B18" s="308"/>
      <c r="C18" s="4"/>
      <c r="D18" s="309"/>
      <c r="E18" s="310"/>
      <c r="F18" s="311"/>
      <c r="G18" s="312"/>
      <c r="H18" s="311"/>
      <c r="I18" s="166"/>
      <c r="J18" s="570"/>
      <c r="K18" s="570"/>
    </row>
    <row r="19" spans="1:11" ht="14.25" customHeight="1">
      <c r="A19" s="291"/>
      <c r="B19" s="300">
        <v>750</v>
      </c>
      <c r="C19" s="3" t="s">
        <v>67</v>
      </c>
      <c r="D19" s="307"/>
      <c r="E19" s="301">
        <f>SUM(E97+E346)</f>
        <v>864375</v>
      </c>
      <c r="F19" s="298">
        <f>SUM(F97+F346)</f>
        <v>364304.56</v>
      </c>
      <c r="G19" s="298">
        <f>SUM(G97+G346)</f>
        <v>364304.56</v>
      </c>
      <c r="H19" s="298">
        <f>SUM(H97+H346)</f>
        <v>0</v>
      </c>
      <c r="I19" s="168">
        <f>SUM(F19/E19)</f>
        <v>0.4214658684020246</v>
      </c>
      <c r="J19" s="570"/>
      <c r="K19" s="570"/>
    </row>
    <row r="20" spans="1:11" ht="6.75" customHeight="1">
      <c r="A20" s="291"/>
      <c r="B20" s="302"/>
      <c r="C20" s="2"/>
      <c r="D20" s="303"/>
      <c r="E20" s="286"/>
      <c r="F20" s="266"/>
      <c r="G20" s="265"/>
      <c r="H20" s="266"/>
      <c r="I20" s="166"/>
      <c r="J20" s="570"/>
      <c r="K20" s="570"/>
    </row>
    <row r="21" spans="1:11" ht="14.25" customHeight="1">
      <c r="A21" s="291"/>
      <c r="B21" s="302">
        <v>751</v>
      </c>
      <c r="C21" s="2" t="s">
        <v>68</v>
      </c>
      <c r="D21" s="303"/>
      <c r="E21" s="286"/>
      <c r="F21" s="266"/>
      <c r="G21" s="265"/>
      <c r="H21" s="266"/>
      <c r="I21" s="168"/>
      <c r="J21" s="570"/>
      <c r="K21" s="570"/>
    </row>
    <row r="22" spans="1:11" ht="14.25" customHeight="1">
      <c r="A22" s="291"/>
      <c r="B22" s="302"/>
      <c r="C22" s="2" t="s">
        <v>69</v>
      </c>
      <c r="D22" s="303"/>
      <c r="E22" s="301">
        <f>SUM(E355)</f>
        <v>6000</v>
      </c>
      <c r="F22" s="298">
        <f>SUM(F355)</f>
        <v>4500</v>
      </c>
      <c r="G22" s="298">
        <f>SUM(G355)</f>
        <v>4500</v>
      </c>
      <c r="H22" s="298">
        <f>SUM(H355)</f>
        <v>0</v>
      </c>
      <c r="I22" s="168">
        <f>SUM(F22/E22)</f>
        <v>0.75</v>
      </c>
      <c r="J22" s="570"/>
      <c r="K22" s="570"/>
    </row>
    <row r="23" spans="1:11" ht="9.75" customHeight="1">
      <c r="A23" s="291"/>
      <c r="B23" s="313"/>
      <c r="C23" s="4"/>
      <c r="D23" s="309"/>
      <c r="E23" s="4"/>
      <c r="F23" s="314"/>
      <c r="G23" s="315"/>
      <c r="H23" s="314"/>
      <c r="I23" s="166"/>
      <c r="J23" s="570"/>
      <c r="K23" s="570"/>
    </row>
    <row r="24" spans="1:11" ht="14.25" customHeight="1">
      <c r="A24" s="291"/>
      <c r="B24" s="302">
        <v>754</v>
      </c>
      <c r="C24" s="2" t="s">
        <v>70</v>
      </c>
      <c r="D24" s="303"/>
      <c r="E24" s="286"/>
      <c r="F24" s="266"/>
      <c r="G24" s="265"/>
      <c r="H24" s="266"/>
      <c r="I24" s="168"/>
      <c r="J24" s="570"/>
      <c r="K24" s="570"/>
    </row>
    <row r="25" spans="1:11" ht="14.25" customHeight="1">
      <c r="A25" s="291"/>
      <c r="B25" s="316"/>
      <c r="C25" s="3" t="s">
        <v>71</v>
      </c>
      <c r="D25" s="307"/>
      <c r="E25" s="301">
        <f>SUM(E118)</f>
        <v>46938</v>
      </c>
      <c r="F25" s="298">
        <f>SUM(F118)</f>
        <v>31903.879999999997</v>
      </c>
      <c r="G25" s="298">
        <f>SUM(G118)</f>
        <v>23403.879999999997</v>
      </c>
      <c r="H25" s="298">
        <f>SUM(H118)</f>
        <v>8500</v>
      </c>
      <c r="I25" s="167">
        <f>SUM(F25/E25)</f>
        <v>0.6797025863905577</v>
      </c>
      <c r="J25" s="570"/>
      <c r="K25" s="570"/>
    </row>
    <row r="26" spans="1:11" ht="14.25" customHeight="1">
      <c r="A26" s="291"/>
      <c r="B26" s="302">
        <v>756</v>
      </c>
      <c r="C26" s="2" t="s">
        <v>72</v>
      </c>
      <c r="D26" s="303"/>
      <c r="E26" s="286"/>
      <c r="F26" s="266"/>
      <c r="G26" s="265"/>
      <c r="H26" s="266"/>
      <c r="I26" s="168"/>
      <c r="J26" s="570"/>
      <c r="K26" s="570"/>
    </row>
    <row r="27" spans="1:11" ht="14.25" customHeight="1">
      <c r="A27" s="291"/>
      <c r="B27" s="302"/>
      <c r="C27" s="2" t="s">
        <v>73</v>
      </c>
      <c r="D27" s="303"/>
      <c r="E27" s="317"/>
      <c r="F27" s="318"/>
      <c r="G27" s="319"/>
      <c r="H27" s="318"/>
      <c r="I27" s="168"/>
      <c r="J27" s="570"/>
      <c r="K27" s="570"/>
    </row>
    <row r="28" spans="1:11" ht="12.75">
      <c r="A28" s="291"/>
      <c r="B28" s="302"/>
      <c r="C28" s="2" t="s">
        <v>74</v>
      </c>
      <c r="D28" s="303"/>
      <c r="E28" s="301">
        <f>SUM(E134)</f>
        <v>60096705</v>
      </c>
      <c r="F28" s="298">
        <f>SUM(F134)</f>
        <v>48698191.62</v>
      </c>
      <c r="G28" s="298">
        <f>SUM(G134)</f>
        <v>48698191.62</v>
      </c>
      <c r="H28" s="298">
        <f>SUM(H134)</f>
        <v>0</v>
      </c>
      <c r="I28" s="168">
        <f>SUM(F28/E28)</f>
        <v>0.8103304768539307</v>
      </c>
      <c r="J28" s="570"/>
      <c r="K28" s="570"/>
    </row>
    <row r="29" spans="1:11" ht="14.25" customHeight="1">
      <c r="A29" s="291"/>
      <c r="B29" s="308"/>
      <c r="C29" s="4"/>
      <c r="D29" s="309"/>
      <c r="E29" s="320"/>
      <c r="F29" s="314"/>
      <c r="G29" s="315"/>
      <c r="H29" s="314"/>
      <c r="I29" s="166"/>
      <c r="J29" s="570"/>
      <c r="K29" s="570"/>
    </row>
    <row r="30" spans="1:11" ht="14.25" customHeight="1">
      <c r="A30" s="291"/>
      <c r="B30" s="321">
        <v>758</v>
      </c>
      <c r="C30" s="3" t="s">
        <v>75</v>
      </c>
      <c r="D30" s="307"/>
      <c r="E30" s="301">
        <f>SUM(E184)</f>
        <v>17431284</v>
      </c>
      <c r="F30" s="298">
        <f>SUM(F184)</f>
        <v>14895793.12</v>
      </c>
      <c r="G30" s="298">
        <f>SUM(G184)</f>
        <v>14895793.12</v>
      </c>
      <c r="H30" s="298">
        <f>SUM(H184)</f>
        <v>0</v>
      </c>
      <c r="I30" s="168">
        <f>SUM(F30/E30)</f>
        <v>0.8545436538123066</v>
      </c>
      <c r="J30" s="570"/>
      <c r="K30" s="570"/>
    </row>
    <row r="31" spans="1:11" ht="14.25" customHeight="1">
      <c r="A31" s="291"/>
      <c r="B31" s="322"/>
      <c r="C31" s="2"/>
      <c r="D31" s="303"/>
      <c r="E31" s="286"/>
      <c r="F31" s="266"/>
      <c r="G31" s="265"/>
      <c r="H31" s="266"/>
      <c r="I31" s="166"/>
      <c r="J31" s="570"/>
      <c r="K31" s="570"/>
    </row>
    <row r="32" spans="1:11" ht="14.25" customHeight="1">
      <c r="A32" s="291"/>
      <c r="B32" s="322">
        <v>801</v>
      </c>
      <c r="C32" s="2" t="s">
        <v>76</v>
      </c>
      <c r="D32" s="303"/>
      <c r="E32" s="301">
        <f>SUM(E199)</f>
        <v>723197</v>
      </c>
      <c r="F32" s="323">
        <f>SUM(F199)</f>
        <v>616865.16</v>
      </c>
      <c r="G32" s="298">
        <f>SUM(G199)</f>
        <v>211331.15000000002</v>
      </c>
      <c r="H32" s="298">
        <f>SUM(H199)</f>
        <v>405534.01</v>
      </c>
      <c r="I32" s="168">
        <f>SUM(F32/E32)</f>
        <v>0.8529697440669693</v>
      </c>
      <c r="J32" s="570"/>
      <c r="K32" s="570"/>
    </row>
    <row r="33" spans="1:11" ht="14.25" customHeight="1">
      <c r="A33" s="291"/>
      <c r="B33" s="324"/>
      <c r="C33" s="4"/>
      <c r="D33" s="309"/>
      <c r="E33" s="320"/>
      <c r="F33" s="314"/>
      <c r="G33" s="315"/>
      <c r="H33" s="314"/>
      <c r="I33" s="166"/>
      <c r="J33" s="570"/>
      <c r="K33" s="570"/>
    </row>
    <row r="34" spans="1:11" ht="14.25" customHeight="1">
      <c r="A34" s="291"/>
      <c r="B34" s="321">
        <v>851</v>
      </c>
      <c r="C34" s="3" t="s">
        <v>77</v>
      </c>
      <c r="D34" s="307"/>
      <c r="E34" s="301">
        <f>SUM(E227)+E364</f>
        <v>5288</v>
      </c>
      <c r="F34" s="298">
        <f>SUM(F227)+F364</f>
        <v>4201.42</v>
      </c>
      <c r="G34" s="298">
        <f>SUM(G227)+G364</f>
        <v>4201.42</v>
      </c>
      <c r="H34" s="298">
        <f>SUM(H227)+H364</f>
        <v>0</v>
      </c>
      <c r="I34" s="168">
        <f>SUM(F34/E34)</f>
        <v>0.7945196671709531</v>
      </c>
      <c r="J34" s="570"/>
      <c r="K34" s="570"/>
    </row>
    <row r="35" spans="1:11" ht="14.25" customHeight="1">
      <c r="A35" s="291"/>
      <c r="B35" s="322"/>
      <c r="C35" s="2"/>
      <c r="D35" s="303"/>
      <c r="E35" s="286"/>
      <c r="F35" s="266"/>
      <c r="G35" s="265"/>
      <c r="H35" s="266"/>
      <c r="I35" s="166"/>
      <c r="J35" s="570"/>
      <c r="K35" s="570"/>
    </row>
    <row r="36" spans="1:11" ht="14.25" customHeight="1">
      <c r="A36" s="291"/>
      <c r="B36" s="321">
        <v>852</v>
      </c>
      <c r="C36" s="5" t="s">
        <v>78</v>
      </c>
      <c r="D36" s="325"/>
      <c r="E36" s="301">
        <f>SUM(E234+E371)+E447</f>
        <v>11443640</v>
      </c>
      <c r="F36" s="298">
        <f>SUM(F234+F371)+F447</f>
        <v>8468768.71</v>
      </c>
      <c r="G36" s="298">
        <f>SUM(G234+G371)+G447</f>
        <v>8468768.71</v>
      </c>
      <c r="H36" s="298">
        <f>SUM(H234+H371)+H447</f>
        <v>0</v>
      </c>
      <c r="I36" s="168">
        <f>SUM(F36/E36)</f>
        <v>0.7400415173843289</v>
      </c>
      <c r="J36" s="570"/>
      <c r="K36" s="570"/>
    </row>
    <row r="37" spans="1:11" ht="14.25" customHeight="1">
      <c r="A37" s="291"/>
      <c r="B37" s="324"/>
      <c r="C37" s="4"/>
      <c r="D37" s="309"/>
      <c r="E37" s="326"/>
      <c r="F37" s="327"/>
      <c r="G37" s="265"/>
      <c r="H37" s="266"/>
      <c r="I37" s="166"/>
      <c r="J37" s="570"/>
      <c r="K37" s="570"/>
    </row>
    <row r="38" spans="1:11" ht="14.25" customHeight="1">
      <c r="A38" s="291"/>
      <c r="B38" s="321">
        <v>853</v>
      </c>
      <c r="C38" s="3" t="s">
        <v>79</v>
      </c>
      <c r="D38" s="307"/>
      <c r="E38" s="301">
        <f>E255+E422+E434</f>
        <v>1150586</v>
      </c>
      <c r="F38" s="298">
        <f>SUM(F255)+F420+F434</f>
        <v>822116</v>
      </c>
      <c r="G38" s="298">
        <f>SUM(G255)+G420+G434</f>
        <v>822116</v>
      </c>
      <c r="H38" s="298">
        <f>SUM(H255)+H420+H434</f>
        <v>0</v>
      </c>
      <c r="I38" s="167">
        <f>SUM(F38/E38)</f>
        <v>0.7145193840356131</v>
      </c>
      <c r="J38" s="570"/>
      <c r="K38" s="570"/>
    </row>
    <row r="39" spans="1:11" ht="14.25" customHeight="1">
      <c r="A39" s="291"/>
      <c r="B39" s="322"/>
      <c r="C39" s="2"/>
      <c r="D39" s="303"/>
      <c r="E39" s="328"/>
      <c r="F39" s="327"/>
      <c r="G39" s="327"/>
      <c r="H39" s="327"/>
      <c r="I39" s="168"/>
      <c r="J39" s="570"/>
      <c r="K39" s="570"/>
    </row>
    <row r="40" spans="1:11" ht="14.25" customHeight="1">
      <c r="A40" s="291"/>
      <c r="B40" s="322">
        <v>854</v>
      </c>
      <c r="C40" s="329" t="s">
        <v>355</v>
      </c>
      <c r="D40" s="303"/>
      <c r="E40" s="328">
        <f>E263</f>
        <v>165291</v>
      </c>
      <c r="F40" s="330">
        <f>F263</f>
        <v>165291</v>
      </c>
      <c r="G40" s="327">
        <f>G263</f>
        <v>165291</v>
      </c>
      <c r="H40" s="327">
        <f>H263</f>
        <v>0</v>
      </c>
      <c r="I40" s="168">
        <f>SUM(F40/E40)</f>
        <v>1</v>
      </c>
      <c r="J40" s="570"/>
      <c r="K40" s="570"/>
    </row>
    <row r="41" spans="1:11" ht="14.25" customHeight="1">
      <c r="A41" s="291"/>
      <c r="B41" s="324"/>
      <c r="C41" s="4"/>
      <c r="D41" s="309"/>
      <c r="E41" s="320"/>
      <c r="F41" s="314"/>
      <c r="G41" s="315"/>
      <c r="H41" s="314"/>
      <c r="I41" s="166"/>
      <c r="J41" s="570"/>
      <c r="K41" s="570"/>
    </row>
    <row r="42" spans="1:11" ht="14.25" customHeight="1">
      <c r="A42" s="291"/>
      <c r="B42" s="321">
        <v>900</v>
      </c>
      <c r="C42" s="3" t="s">
        <v>80</v>
      </c>
      <c r="D42" s="307"/>
      <c r="E42" s="301">
        <f>SUM(E268)</f>
        <v>9402164</v>
      </c>
      <c r="F42" s="298">
        <f>SUM(F268)</f>
        <v>6156671.42</v>
      </c>
      <c r="G42" s="298">
        <f>SUM(G268)</f>
        <v>2142806.79</v>
      </c>
      <c r="H42" s="298">
        <f>SUM(H268)</f>
        <v>4013864.63</v>
      </c>
      <c r="I42" s="168">
        <f>SUM(F42/E42)</f>
        <v>0.6548142980701038</v>
      </c>
      <c r="J42" s="570"/>
      <c r="K42" s="570"/>
    </row>
    <row r="43" spans="1:11" ht="14.25" customHeight="1">
      <c r="A43" s="291"/>
      <c r="B43" s="302"/>
      <c r="C43" s="2"/>
      <c r="D43" s="303"/>
      <c r="E43" s="286"/>
      <c r="F43" s="266"/>
      <c r="G43" s="265"/>
      <c r="H43" s="266"/>
      <c r="I43" s="166"/>
      <c r="J43" s="570"/>
      <c r="K43" s="570"/>
    </row>
    <row r="44" spans="1:11" ht="14.25" customHeight="1">
      <c r="A44" s="291"/>
      <c r="B44" s="300">
        <v>921</v>
      </c>
      <c r="C44" s="3" t="s">
        <v>81</v>
      </c>
      <c r="D44" s="307"/>
      <c r="E44" s="301">
        <f>SUM(E306)</f>
        <v>251360</v>
      </c>
      <c r="F44" s="298">
        <f>SUM(F306)</f>
        <v>1360.0500000000002</v>
      </c>
      <c r="G44" s="298">
        <f>SUM(G306)</f>
        <v>1360.0500000000002</v>
      </c>
      <c r="H44" s="298">
        <f>SUM(H306)</f>
        <v>0</v>
      </c>
      <c r="I44" s="168">
        <f>SUM(F44/E44)</f>
        <v>0.0054107654360280085</v>
      </c>
      <c r="J44" s="570"/>
      <c r="K44" s="570"/>
    </row>
    <row r="45" spans="1:11" ht="14.25" customHeight="1">
      <c r="A45" s="291"/>
      <c r="B45" s="302"/>
      <c r="C45" s="2"/>
      <c r="D45" s="303"/>
      <c r="E45" s="286"/>
      <c r="F45" s="266"/>
      <c r="G45" s="265"/>
      <c r="H45" s="266"/>
      <c r="I45" s="166"/>
      <c r="J45" s="570"/>
      <c r="K45" s="570"/>
    </row>
    <row r="46" spans="1:11" ht="14.25" customHeight="1" thickBot="1">
      <c r="A46" s="291"/>
      <c r="B46" s="331">
        <v>926</v>
      </c>
      <c r="C46" s="6" t="s">
        <v>82</v>
      </c>
      <c r="D46" s="332"/>
      <c r="E46" s="301">
        <f>SUM(E316)</f>
        <v>1745563</v>
      </c>
      <c r="F46" s="298">
        <f>SUM(F316)</f>
        <v>935687.3300000001</v>
      </c>
      <c r="G46" s="298">
        <f>SUM(G316)</f>
        <v>140329.23</v>
      </c>
      <c r="H46" s="298">
        <f>SUM(H316)</f>
        <v>795358.1</v>
      </c>
      <c r="I46" s="168">
        <f>SUM(F46/E46)</f>
        <v>0.5360375592287417</v>
      </c>
      <c r="J46" s="570"/>
      <c r="K46" s="570"/>
    </row>
    <row r="47" spans="1:9" ht="14.25" customHeight="1">
      <c r="A47" s="291"/>
      <c r="B47" s="333"/>
      <c r="C47" s="7"/>
      <c r="D47" s="334"/>
      <c r="E47" s="335"/>
      <c r="F47" s="336"/>
      <c r="G47" s="337"/>
      <c r="H47" s="338"/>
      <c r="I47" s="169"/>
    </row>
    <row r="48" spans="1:18" ht="14.25" customHeight="1" thickBot="1">
      <c r="A48" s="291"/>
      <c r="B48" s="339"/>
      <c r="C48" s="1372" t="s">
        <v>83</v>
      </c>
      <c r="D48" s="1373"/>
      <c r="E48" s="340">
        <f>SUM(E8:E46)</f>
        <v>113399453.31</v>
      </c>
      <c r="F48" s="340">
        <f>SUM(F8:F46)</f>
        <v>86219524.61999999</v>
      </c>
      <c r="G48" s="340">
        <f>SUM(G8:G46)</f>
        <v>76427230.99</v>
      </c>
      <c r="H48" s="340">
        <f>SUM(H8:H46)</f>
        <v>9792293.63</v>
      </c>
      <c r="I48" s="287">
        <f>SUM(F48/E48)</f>
        <v>0.7603169336654714</v>
      </c>
      <c r="J48" s="571"/>
      <c r="K48" s="582"/>
      <c r="L48" s="341"/>
      <c r="M48" s="341"/>
      <c r="N48" s="341"/>
      <c r="O48" s="341"/>
      <c r="P48" s="299"/>
      <c r="Q48" s="299"/>
      <c r="R48" s="299"/>
    </row>
    <row r="49" spans="1:13" ht="8.25" customHeight="1">
      <c r="A49" s="291"/>
      <c r="B49" s="342"/>
      <c r="C49" s="8"/>
      <c r="D49" s="343"/>
      <c r="E49" s="344"/>
      <c r="F49" s="344"/>
      <c r="G49" s="344"/>
      <c r="H49" s="344"/>
      <c r="I49" s="345"/>
      <c r="J49" s="570"/>
      <c r="K49" s="570"/>
      <c r="L49" s="299"/>
      <c r="M49" s="299"/>
    </row>
    <row r="50" spans="1:11" ht="14.25" customHeight="1">
      <c r="A50" s="1371" t="s">
        <v>395</v>
      </c>
      <c r="B50" s="1371"/>
      <c r="C50" s="1371"/>
      <c r="D50" s="1371"/>
      <c r="E50" s="1371"/>
      <c r="F50" s="1371"/>
      <c r="G50" s="1371"/>
      <c r="H50" s="1371"/>
      <c r="I50" s="1371"/>
      <c r="K50" s="570"/>
    </row>
    <row r="51" spans="1:9" ht="14.25" customHeight="1" thickBot="1">
      <c r="A51" s="291"/>
      <c r="B51" s="291"/>
      <c r="C51" s="291"/>
      <c r="E51" s="349"/>
      <c r="F51" s="291"/>
      <c r="G51" s="291"/>
      <c r="H51" s="291"/>
      <c r="I51" s="291"/>
    </row>
    <row r="52" spans="1:11" s="9" customFormat="1" ht="14.25" customHeight="1">
      <c r="A52" s="1349" t="s">
        <v>58</v>
      </c>
      <c r="B52" s="1351" t="s">
        <v>84</v>
      </c>
      <c r="C52" s="1351" t="s">
        <v>85</v>
      </c>
      <c r="D52" s="1351" t="s">
        <v>86</v>
      </c>
      <c r="E52" s="1353" t="s">
        <v>60</v>
      </c>
      <c r="F52" s="1361" t="s">
        <v>344</v>
      </c>
      <c r="G52" s="1357" t="s">
        <v>61</v>
      </c>
      <c r="H52" s="1358"/>
      <c r="I52" s="1359" t="s">
        <v>370</v>
      </c>
      <c r="J52" s="572"/>
      <c r="K52" s="572"/>
    </row>
    <row r="53" spans="1:11" s="10" customFormat="1" ht="12.75">
      <c r="A53" s="1350"/>
      <c r="B53" s="1352"/>
      <c r="C53" s="1352"/>
      <c r="D53" s="1352"/>
      <c r="E53" s="1354"/>
      <c r="F53" s="1362"/>
      <c r="G53" s="207" t="s">
        <v>62</v>
      </c>
      <c r="H53" s="208" t="s">
        <v>63</v>
      </c>
      <c r="I53" s="1360"/>
      <c r="J53" s="573"/>
      <c r="K53" s="573"/>
    </row>
    <row r="54" spans="1:11" s="296" customFormat="1" ht="14.25" customHeight="1" thickBot="1">
      <c r="A54" s="673">
        <v>1</v>
      </c>
      <c r="B54" s="681">
        <v>2</v>
      </c>
      <c r="C54" s="681">
        <v>3</v>
      </c>
      <c r="D54" s="681">
        <v>4</v>
      </c>
      <c r="E54" s="682">
        <v>5</v>
      </c>
      <c r="F54" s="683">
        <v>6</v>
      </c>
      <c r="G54" s="684">
        <v>7</v>
      </c>
      <c r="H54" s="685">
        <v>8</v>
      </c>
      <c r="I54" s="686">
        <v>9</v>
      </c>
      <c r="J54" s="569"/>
      <c r="K54" s="569"/>
    </row>
    <row r="55" spans="1:11" s="356" customFormat="1" ht="25.5">
      <c r="A55" s="386">
        <v>400</v>
      </c>
      <c r="B55" s="355"/>
      <c r="C55" s="13"/>
      <c r="D55" s="14" t="s">
        <v>64</v>
      </c>
      <c r="E55" s="301">
        <f>SUM(E57)</f>
        <v>80000</v>
      </c>
      <c r="F55" s="298">
        <f>SUM(F57)</f>
        <v>0</v>
      </c>
      <c r="G55" s="298">
        <f>SUM(G57)</f>
        <v>0</v>
      </c>
      <c r="H55" s="298">
        <f>SUM(H57)</f>
        <v>0</v>
      </c>
      <c r="I55" s="167">
        <f>SUM(F55/E55)</f>
        <v>0</v>
      </c>
      <c r="J55" s="574"/>
      <c r="K55" s="574"/>
    </row>
    <row r="56" spans="1:11" s="356" customFormat="1" ht="14.25" customHeight="1">
      <c r="A56" s="386"/>
      <c r="B56" s="12"/>
      <c r="C56" s="12"/>
      <c r="D56" s="357"/>
      <c r="E56" s="328"/>
      <c r="F56" s="327"/>
      <c r="G56" s="315"/>
      <c r="H56" s="314"/>
      <c r="I56" s="166"/>
      <c r="J56" s="574"/>
      <c r="K56" s="574"/>
    </row>
    <row r="57" spans="1:11" s="356" customFormat="1" ht="14.25" customHeight="1">
      <c r="A57" s="386"/>
      <c r="B57" s="12">
        <v>40002</v>
      </c>
      <c r="C57" s="13"/>
      <c r="D57" s="329" t="s">
        <v>87</v>
      </c>
      <c r="E57" s="301">
        <f>SUM(E58:E58)</f>
        <v>80000</v>
      </c>
      <c r="F57" s="298">
        <f>SUM(F58:F58)</f>
        <v>0</v>
      </c>
      <c r="G57" s="298">
        <f>SUM(G58:G58)</f>
        <v>0</v>
      </c>
      <c r="H57" s="298">
        <f>SUM(H58:H58)</f>
        <v>0</v>
      </c>
      <c r="I57" s="167">
        <f>SUM(F57/E57)</f>
        <v>0</v>
      </c>
      <c r="J57" s="574"/>
      <c r="K57" s="574"/>
    </row>
    <row r="58" spans="1:11" s="356" customFormat="1" ht="39" customHeight="1" thickBot="1">
      <c r="A58" s="391"/>
      <c r="B58" s="378"/>
      <c r="C58" s="378">
        <v>6260</v>
      </c>
      <c r="D58" s="26" t="s">
        <v>88</v>
      </c>
      <c r="E58" s="524">
        <v>80000</v>
      </c>
      <c r="F58" s="550">
        <f>SUM(G58+H58)</f>
        <v>0</v>
      </c>
      <c r="G58" s="551"/>
      <c r="H58" s="550"/>
      <c r="I58" s="173">
        <f>SUM(F58/E58)</f>
        <v>0</v>
      </c>
      <c r="J58" s="574"/>
      <c r="K58" s="574"/>
    </row>
    <row r="59" spans="1:11" s="356" customFormat="1" ht="27" customHeight="1" thickTop="1">
      <c r="A59" s="386">
        <v>600</v>
      </c>
      <c r="B59" s="355"/>
      <c r="C59" s="13"/>
      <c r="D59" s="329" t="s">
        <v>65</v>
      </c>
      <c r="E59" s="301">
        <f>SUM(E61)</f>
        <v>468</v>
      </c>
      <c r="F59" s="298">
        <f>SUM(F61)</f>
        <v>467.56</v>
      </c>
      <c r="G59" s="360">
        <f>SUM(G61)</f>
        <v>467.56</v>
      </c>
      <c r="H59" s="298">
        <f>SUM(H61)</f>
        <v>0</v>
      </c>
      <c r="I59" s="167">
        <f>SUM(F59/E59)</f>
        <v>0.999059829059829</v>
      </c>
      <c r="J59" s="574"/>
      <c r="K59" s="574"/>
    </row>
    <row r="60" spans="1:11" s="356" customFormat="1" ht="14.25" customHeight="1">
      <c r="A60" s="386"/>
      <c r="B60" s="12"/>
      <c r="C60" s="12"/>
      <c r="D60" s="357"/>
      <c r="E60" s="328"/>
      <c r="F60" s="388"/>
      <c r="G60" s="361"/>
      <c r="H60" s="362"/>
      <c r="I60" s="166"/>
      <c r="J60" s="574"/>
      <c r="K60" s="574"/>
    </row>
    <row r="61" spans="1:11" s="356" customFormat="1" ht="14.25" customHeight="1">
      <c r="A61" s="386"/>
      <c r="B61" s="12">
        <v>60016</v>
      </c>
      <c r="C61" s="13"/>
      <c r="D61" s="329" t="s">
        <v>90</v>
      </c>
      <c r="E61" s="301">
        <f>SUM(E62:E63)</f>
        <v>468</v>
      </c>
      <c r="F61" s="298">
        <f>SUM(F62:F63)</f>
        <v>467.56</v>
      </c>
      <c r="G61" s="298">
        <f>SUM(G62:G63)</f>
        <v>467.56</v>
      </c>
      <c r="H61" s="298">
        <f>SUM(H62:H63)</f>
        <v>0</v>
      </c>
      <c r="I61" s="167">
        <f>SUM(F61/E61)</f>
        <v>0.999059829059829</v>
      </c>
      <c r="J61" s="574"/>
      <c r="K61" s="574"/>
    </row>
    <row r="62" spans="1:11" s="356" customFormat="1" ht="30.75" customHeight="1" thickBot="1">
      <c r="A62" s="391"/>
      <c r="B62" s="378"/>
      <c r="C62" s="1246" t="s">
        <v>101</v>
      </c>
      <c r="D62" s="26" t="s">
        <v>366</v>
      </c>
      <c r="E62" s="526">
        <v>468</v>
      </c>
      <c r="F62" s="552">
        <v>467.56</v>
      </c>
      <c r="G62" s="549">
        <v>467.56</v>
      </c>
      <c r="H62" s="536">
        <v>0</v>
      </c>
      <c r="I62" s="173">
        <f>SUM(F62/E62)</f>
        <v>0.999059829059829</v>
      </c>
      <c r="J62" s="574"/>
      <c r="K62" s="574"/>
    </row>
    <row r="63" spans="1:11" s="356" customFormat="1" ht="32.25" customHeight="1" hidden="1" thickBot="1">
      <c r="A63" s="391"/>
      <c r="B63" s="378"/>
      <c r="C63" s="378">
        <v>6298</v>
      </c>
      <c r="D63" s="26" t="s">
        <v>89</v>
      </c>
      <c r="E63" s="530">
        <v>0</v>
      </c>
      <c r="F63" s="552">
        <f>SUM(G63+H63)</f>
        <v>0</v>
      </c>
      <c r="G63" s="549"/>
      <c r="H63" s="536">
        <v>0</v>
      </c>
      <c r="I63" s="170" t="e">
        <f>SUM(F63/E63)</f>
        <v>#DIV/0!</v>
      </c>
      <c r="J63" s="574"/>
      <c r="K63" s="574"/>
    </row>
    <row r="64" spans="1:11" s="356" customFormat="1" ht="14.25" customHeight="1" thickTop="1">
      <c r="A64" s="386"/>
      <c r="B64" s="12"/>
      <c r="C64" s="12"/>
      <c r="D64" s="357"/>
      <c r="E64" s="328"/>
      <c r="F64" s="327"/>
      <c r="G64" s="265"/>
      <c r="H64" s="266"/>
      <c r="I64" s="168"/>
      <c r="J64" s="574"/>
      <c r="K64" s="574"/>
    </row>
    <row r="65" spans="1:11" s="356" customFormat="1" ht="14.25" customHeight="1">
      <c r="A65" s="386">
        <v>630</v>
      </c>
      <c r="B65" s="13"/>
      <c r="C65" s="12"/>
      <c r="D65" s="357" t="s">
        <v>269</v>
      </c>
      <c r="E65" s="328">
        <f>SUM(E67)</f>
        <v>0</v>
      </c>
      <c r="F65" s="327">
        <f>SUM(F67)</f>
        <v>0.01</v>
      </c>
      <c r="G65" s="327">
        <f>SUM(G67)</f>
        <v>0.01</v>
      </c>
      <c r="H65" s="327">
        <f>SUM(H67)</f>
        <v>0</v>
      </c>
      <c r="I65" s="167"/>
      <c r="J65" s="574"/>
      <c r="K65" s="574"/>
    </row>
    <row r="66" spans="1:11" s="356" customFormat="1" ht="14.25" customHeight="1">
      <c r="A66" s="386"/>
      <c r="B66" s="177"/>
      <c r="C66" s="139"/>
      <c r="D66" s="366"/>
      <c r="E66" s="367"/>
      <c r="F66" s="368"/>
      <c r="G66" s="315"/>
      <c r="H66" s="314"/>
      <c r="I66" s="166"/>
      <c r="J66" s="574"/>
      <c r="K66" s="574"/>
    </row>
    <row r="67" spans="1:11" s="356" customFormat="1" ht="14.25" customHeight="1">
      <c r="A67" s="386"/>
      <c r="B67" s="177">
        <v>63003</v>
      </c>
      <c r="C67" s="13"/>
      <c r="D67" s="329" t="s">
        <v>293</v>
      </c>
      <c r="E67" s="369">
        <f>SUM(E68)</f>
        <v>0</v>
      </c>
      <c r="F67" s="360">
        <f>SUM(F68)</f>
        <v>0.01</v>
      </c>
      <c r="G67" s="360">
        <f>SUM(G68)</f>
        <v>0.01</v>
      </c>
      <c r="H67" s="298">
        <f>SUM(H68)</f>
        <v>0</v>
      </c>
      <c r="I67" s="167"/>
      <c r="J67" s="574"/>
      <c r="K67" s="574"/>
    </row>
    <row r="68" spans="1:11" s="294" customFormat="1" ht="25.5" customHeight="1" thickBot="1">
      <c r="A68" s="399"/>
      <c r="B68" s="400"/>
      <c r="C68" s="400">
        <v>2910</v>
      </c>
      <c r="D68" s="153" t="s">
        <v>346</v>
      </c>
      <c r="E68" s="526">
        <v>0</v>
      </c>
      <c r="F68" s="552">
        <f>SUM(G68:H68)</f>
        <v>0.01</v>
      </c>
      <c r="G68" s="553">
        <v>0.01</v>
      </c>
      <c r="H68" s="554"/>
      <c r="I68" s="170"/>
      <c r="J68" s="568"/>
      <c r="K68" s="568"/>
    </row>
    <row r="69" spans="1:11" s="356" customFormat="1" ht="14.25" customHeight="1" thickTop="1">
      <c r="A69" s="448"/>
      <c r="B69" s="12"/>
      <c r="C69" s="12"/>
      <c r="D69" s="357"/>
      <c r="E69" s="328"/>
      <c r="F69" s="388"/>
      <c r="G69" s="370"/>
      <c r="H69" s="371"/>
      <c r="I69" s="168"/>
      <c r="J69" s="574"/>
      <c r="K69" s="574"/>
    </row>
    <row r="70" spans="1:11" s="356" customFormat="1" ht="14.25" customHeight="1">
      <c r="A70" s="386">
        <v>700</v>
      </c>
      <c r="B70" s="355"/>
      <c r="C70" s="13"/>
      <c r="D70" s="329" t="s">
        <v>66</v>
      </c>
      <c r="E70" s="301">
        <f>SUM(E72+E77)+E85</f>
        <v>9426374</v>
      </c>
      <c r="F70" s="298">
        <f>SUM(F72+F77)+F85</f>
        <v>4798237.7</v>
      </c>
      <c r="G70" s="298">
        <f>SUM(G72+G77)+G85</f>
        <v>229200.81</v>
      </c>
      <c r="H70" s="298">
        <f>SUM(H72+H77)+H85</f>
        <v>4569036.890000001</v>
      </c>
      <c r="I70" s="167">
        <f>SUM(F70/E70)</f>
        <v>0.5090226316078696</v>
      </c>
      <c r="J70" s="574"/>
      <c r="K70" s="574"/>
    </row>
    <row r="71" spans="1:11" s="356" customFormat="1" ht="14.25" customHeight="1">
      <c r="A71" s="386"/>
      <c r="B71" s="12"/>
      <c r="C71" s="12"/>
      <c r="D71" s="357"/>
      <c r="E71" s="328"/>
      <c r="F71" s="327"/>
      <c r="G71" s="315"/>
      <c r="H71" s="314"/>
      <c r="I71" s="166"/>
      <c r="J71" s="574"/>
      <c r="K71" s="574"/>
    </row>
    <row r="72" spans="1:11" s="356" customFormat="1" ht="14.25" customHeight="1">
      <c r="A72" s="386"/>
      <c r="B72" s="12">
        <v>70001</v>
      </c>
      <c r="C72" s="13"/>
      <c r="D72" s="329" t="s">
        <v>91</v>
      </c>
      <c r="E72" s="301">
        <f>SUM(E73:E75)</f>
        <v>3420187</v>
      </c>
      <c r="F72" s="323">
        <f>SUM(F73:F75)</f>
        <v>2920187.25</v>
      </c>
      <c r="G72" s="323">
        <f>SUM(G73:G75)</f>
        <v>50187.25</v>
      </c>
      <c r="H72" s="323">
        <f>SUM(H73:H75)</f>
        <v>2870000</v>
      </c>
      <c r="I72" s="167">
        <f>SUM(F72/E72)</f>
        <v>0.8538092361616485</v>
      </c>
      <c r="J72" s="574"/>
      <c r="K72" s="574"/>
    </row>
    <row r="73" spans="1:11" s="356" customFormat="1" ht="27.75" customHeight="1">
      <c r="A73" s="386"/>
      <c r="B73" s="12"/>
      <c r="C73" s="13">
        <v>2370</v>
      </c>
      <c r="D73" s="145" t="s">
        <v>350</v>
      </c>
      <c r="E73" s="301">
        <v>50187</v>
      </c>
      <c r="F73" s="555">
        <f>SUM(G73:H73)</f>
        <v>50187.22</v>
      </c>
      <c r="G73" s="298">
        <v>50187.22</v>
      </c>
      <c r="H73" s="298"/>
      <c r="I73" s="167">
        <f>F73/E73</f>
        <v>1.000004383605316</v>
      </c>
      <c r="J73" s="574"/>
      <c r="K73" s="574"/>
    </row>
    <row r="74" spans="1:11" s="294" customFormat="1" ht="25.5" customHeight="1">
      <c r="A74" s="302"/>
      <c r="B74" s="372"/>
      <c r="C74" s="142">
        <v>2910</v>
      </c>
      <c r="D74" s="143" t="s">
        <v>346</v>
      </c>
      <c r="E74" s="373">
        <v>0</v>
      </c>
      <c r="F74" s="555">
        <f>SUM(G74:H74)</f>
        <v>0.03</v>
      </c>
      <c r="G74" s="555">
        <v>0.03</v>
      </c>
      <c r="H74" s="555"/>
      <c r="I74" s="171"/>
      <c r="J74" s="568"/>
      <c r="K74" s="568"/>
    </row>
    <row r="75" spans="1:11" s="356" customFormat="1" ht="38.25">
      <c r="A75" s="386"/>
      <c r="B75" s="13"/>
      <c r="C75" s="13">
        <v>6260</v>
      </c>
      <c r="D75" s="14" t="s">
        <v>88</v>
      </c>
      <c r="E75" s="525">
        <v>3370000</v>
      </c>
      <c r="F75" s="555">
        <f>SUM(G75:H75)</f>
        <v>2870000</v>
      </c>
      <c r="G75" s="265">
        <v>0</v>
      </c>
      <c r="H75" s="266">
        <v>2870000</v>
      </c>
      <c r="I75" s="687">
        <f>SUM(F75/E75)</f>
        <v>0.8516320474777448</v>
      </c>
      <c r="J75" s="574"/>
      <c r="K75" s="574"/>
    </row>
    <row r="76" spans="1:11" s="356" customFormat="1" ht="14.25" customHeight="1">
      <c r="A76" s="386"/>
      <c r="B76" s="12"/>
      <c r="C76" s="12"/>
      <c r="D76" s="357"/>
      <c r="E76" s="328"/>
      <c r="F76" s="388"/>
      <c r="G76" s="361"/>
      <c r="H76" s="362"/>
      <c r="I76" s="166"/>
      <c r="J76" s="574"/>
      <c r="K76" s="574"/>
    </row>
    <row r="77" spans="1:11" s="356" customFormat="1" ht="14.25" customHeight="1">
      <c r="A77" s="386"/>
      <c r="B77" s="12">
        <v>70005</v>
      </c>
      <c r="C77" s="13"/>
      <c r="D77" s="329" t="s">
        <v>92</v>
      </c>
      <c r="E77" s="301">
        <f>SUM(E78:E82)+E83</f>
        <v>5959589</v>
      </c>
      <c r="F77" s="298">
        <f>SUM(F78:F82)+F83</f>
        <v>1831452.5899999999</v>
      </c>
      <c r="G77" s="298">
        <f>SUM(G78:G82)+G83</f>
        <v>132415.69999999998</v>
      </c>
      <c r="H77" s="298">
        <f>SUM(H78:H82)+H83</f>
        <v>1699036.8900000001</v>
      </c>
      <c r="I77" s="688">
        <f>F77/E77</f>
        <v>0.307311895165925</v>
      </c>
      <c r="J77" s="574"/>
      <c r="K77" s="574"/>
    </row>
    <row r="78" spans="1:11" s="356" customFormat="1" ht="30" customHeight="1">
      <c r="A78" s="386"/>
      <c r="B78" s="12"/>
      <c r="C78" s="15" t="s">
        <v>93</v>
      </c>
      <c r="D78" s="14" t="s">
        <v>94</v>
      </c>
      <c r="E78" s="525">
        <v>117000</v>
      </c>
      <c r="F78" s="555">
        <f aca="true" t="shared" si="0" ref="F78:F83">SUM(G78:H78)</f>
        <v>105538.64</v>
      </c>
      <c r="G78" s="265">
        <v>105538.64</v>
      </c>
      <c r="H78" s="266"/>
      <c r="I78" s="171">
        <f aca="true" t="shared" si="1" ref="I78:I83">SUM(F78/E78)</f>
        <v>0.9020396581196581</v>
      </c>
      <c r="J78" s="574"/>
      <c r="K78" s="574"/>
    </row>
    <row r="79" spans="1:11" s="356" customFormat="1" ht="29.25" customHeight="1">
      <c r="A79" s="386"/>
      <c r="B79" s="12"/>
      <c r="C79" s="15" t="s">
        <v>136</v>
      </c>
      <c r="D79" s="14" t="s">
        <v>137</v>
      </c>
      <c r="E79" s="525">
        <v>6</v>
      </c>
      <c r="F79" s="555">
        <f t="shared" si="0"/>
        <v>6.14</v>
      </c>
      <c r="G79" s="375">
        <v>6.14</v>
      </c>
      <c r="H79" s="377"/>
      <c r="I79" s="171">
        <f t="shared" si="1"/>
        <v>1.0233333333333332</v>
      </c>
      <c r="J79" s="574"/>
      <c r="K79" s="574"/>
    </row>
    <row r="80" spans="1:11" s="356" customFormat="1" ht="25.5">
      <c r="A80" s="386"/>
      <c r="B80" s="12"/>
      <c r="C80" s="15" t="s">
        <v>95</v>
      </c>
      <c r="D80" s="14" t="s">
        <v>96</v>
      </c>
      <c r="E80" s="525">
        <v>70000</v>
      </c>
      <c r="F80" s="555">
        <f t="shared" si="0"/>
        <v>12873.36</v>
      </c>
      <c r="G80" s="375"/>
      <c r="H80" s="377">
        <v>12873.36</v>
      </c>
      <c r="I80" s="171">
        <f t="shared" si="1"/>
        <v>0.18390514285714288</v>
      </c>
      <c r="J80" s="574"/>
      <c r="K80" s="574"/>
    </row>
    <row r="81" spans="1:11" s="356" customFormat="1" ht="25.5" customHeight="1">
      <c r="A81" s="386"/>
      <c r="B81" s="27"/>
      <c r="C81" s="16" t="s">
        <v>97</v>
      </c>
      <c r="D81" s="17" t="s">
        <v>98</v>
      </c>
      <c r="E81" s="525">
        <v>5767000</v>
      </c>
      <c r="F81" s="555">
        <f t="shared" si="0"/>
        <v>1686163.53</v>
      </c>
      <c r="G81" s="265"/>
      <c r="H81" s="266">
        <v>1686163.53</v>
      </c>
      <c r="I81" s="171">
        <f t="shared" si="1"/>
        <v>0.29238139934107854</v>
      </c>
      <c r="J81" s="574"/>
      <c r="K81" s="574"/>
    </row>
    <row r="82" spans="1:11" s="356" customFormat="1" ht="19.5" customHeight="1">
      <c r="A82" s="386"/>
      <c r="B82" s="12"/>
      <c r="C82" s="16" t="s">
        <v>99</v>
      </c>
      <c r="D82" s="17" t="s">
        <v>100</v>
      </c>
      <c r="E82" s="525">
        <v>2365</v>
      </c>
      <c r="F82" s="555">
        <f t="shared" si="0"/>
        <v>1901.79</v>
      </c>
      <c r="G82" s="375">
        <v>1901.79</v>
      </c>
      <c r="H82" s="376"/>
      <c r="I82" s="171">
        <f t="shared" si="1"/>
        <v>0.8041395348837209</v>
      </c>
      <c r="J82" s="574"/>
      <c r="K82" s="574"/>
    </row>
    <row r="83" spans="1:11" s="356" customFormat="1" ht="25.5" customHeight="1" thickBot="1">
      <c r="A83" s="1251"/>
      <c r="B83" s="435"/>
      <c r="C83" s="1252" t="s">
        <v>101</v>
      </c>
      <c r="D83" s="1253" t="s">
        <v>102</v>
      </c>
      <c r="E83" s="1254">
        <v>3218</v>
      </c>
      <c r="F83" s="1255">
        <f t="shared" si="0"/>
        <v>24969.13</v>
      </c>
      <c r="G83" s="1256">
        <v>24969.13</v>
      </c>
      <c r="H83" s="1257"/>
      <c r="I83" s="1258">
        <f t="shared" si="1"/>
        <v>7.759207582349285</v>
      </c>
      <c r="J83" s="574"/>
      <c r="K83" s="574"/>
    </row>
    <row r="84" spans="1:11" s="296" customFormat="1" ht="14.25" customHeight="1">
      <c r="A84" s="1259">
        <v>1</v>
      </c>
      <c r="B84" s="1260">
        <v>2</v>
      </c>
      <c r="C84" s="1260">
        <v>3</v>
      </c>
      <c r="D84" s="1260">
        <v>4</v>
      </c>
      <c r="E84" s="1261">
        <v>5</v>
      </c>
      <c r="F84" s="1262">
        <v>6</v>
      </c>
      <c r="G84" s="1262">
        <v>7</v>
      </c>
      <c r="H84" s="1263">
        <v>8</v>
      </c>
      <c r="I84" s="1264">
        <v>9</v>
      </c>
      <c r="J84" s="569"/>
      <c r="K84" s="569"/>
    </row>
    <row r="85" spans="1:11" s="356" customFormat="1" ht="25.5" customHeight="1">
      <c r="A85" s="386"/>
      <c r="B85" s="12">
        <v>70095</v>
      </c>
      <c r="C85" s="516"/>
      <c r="D85" s="18" t="s">
        <v>110</v>
      </c>
      <c r="E85" s="382">
        <f>E86</f>
        <v>46598</v>
      </c>
      <c r="F85" s="397">
        <f>F86</f>
        <v>46597.86</v>
      </c>
      <c r="G85" s="265">
        <f>G86</f>
        <v>46597.86</v>
      </c>
      <c r="H85" s="266">
        <f>H86</f>
        <v>0</v>
      </c>
      <c r="I85" s="167">
        <f>SUM(F85/E85)</f>
        <v>0.9999969955792094</v>
      </c>
      <c r="J85" s="574"/>
      <c r="K85" s="574"/>
    </row>
    <row r="86" spans="1:11" s="356" customFormat="1" ht="25.5" customHeight="1" thickBot="1">
      <c r="A86" s="391"/>
      <c r="B86" s="378"/>
      <c r="C86" s="157" t="s">
        <v>345</v>
      </c>
      <c r="D86" s="25" t="s">
        <v>347</v>
      </c>
      <c r="E86" s="526">
        <v>46598</v>
      </c>
      <c r="F86" s="556">
        <f>G86+H86</f>
        <v>46597.86</v>
      </c>
      <c r="G86" s="557">
        <v>46597.86</v>
      </c>
      <c r="H86" s="380"/>
      <c r="I86" s="170">
        <f>SUM(F86/E86)</f>
        <v>0.9999969955792094</v>
      </c>
      <c r="J86" s="574"/>
      <c r="K86" s="574"/>
    </row>
    <row r="87" spans="1:11" s="356" customFormat="1" ht="14.25" customHeight="1" thickTop="1">
      <c r="A87" s="386"/>
      <c r="B87" s="12"/>
      <c r="C87" s="33"/>
      <c r="D87" s="18"/>
      <c r="E87" s="328"/>
      <c r="F87" s="327"/>
      <c r="G87" s="265"/>
      <c r="H87" s="266"/>
      <c r="I87" s="168"/>
      <c r="J87" s="574"/>
      <c r="K87" s="574"/>
    </row>
    <row r="88" spans="1:11" s="356" customFormat="1" ht="14.25" customHeight="1">
      <c r="A88" s="386">
        <v>710</v>
      </c>
      <c r="B88" s="355"/>
      <c r="C88" s="41"/>
      <c r="D88" s="329" t="s">
        <v>270</v>
      </c>
      <c r="E88" s="301">
        <f>E93+E90</f>
        <v>4817</v>
      </c>
      <c r="F88" s="298">
        <f>F93+F90</f>
        <v>24761.77</v>
      </c>
      <c r="G88" s="298">
        <f>G93+G90</f>
        <v>24761.77</v>
      </c>
      <c r="H88" s="298">
        <f>H93+H90</f>
        <v>0</v>
      </c>
      <c r="I88" s="167">
        <f>SUM(F88/E88)</f>
        <v>5.140496159435333</v>
      </c>
      <c r="J88" s="574"/>
      <c r="K88" s="574"/>
    </row>
    <row r="89" spans="1:11" s="356" customFormat="1" ht="14.25" customHeight="1">
      <c r="A89" s="386"/>
      <c r="B89" s="12"/>
      <c r="C89" s="12"/>
      <c r="D89" s="357"/>
      <c r="E89" s="328"/>
      <c r="F89" s="327"/>
      <c r="G89" s="265"/>
      <c r="H89" s="266"/>
      <c r="I89" s="166"/>
      <c r="J89" s="574"/>
      <c r="K89" s="574"/>
    </row>
    <row r="90" spans="1:11" s="356" customFormat="1" ht="14.25" customHeight="1">
      <c r="A90" s="386"/>
      <c r="B90" s="12">
        <v>71004</v>
      </c>
      <c r="C90" s="13"/>
      <c r="D90" s="329" t="s">
        <v>294</v>
      </c>
      <c r="E90" s="301">
        <f>SUM(E91:E91)</f>
        <v>4817</v>
      </c>
      <c r="F90" s="298">
        <f>SUM(F91:F91)</f>
        <v>4816.56</v>
      </c>
      <c r="G90" s="360">
        <f>SUM(G91:G91)</f>
        <v>4816.56</v>
      </c>
      <c r="H90" s="298">
        <f>SUM(H91:H91)</f>
        <v>0</v>
      </c>
      <c r="I90" s="167">
        <f>SUM(F90/E90)</f>
        <v>0.9999086568403571</v>
      </c>
      <c r="J90" s="574"/>
      <c r="K90" s="574"/>
    </row>
    <row r="91" spans="1:11" s="356" customFormat="1" ht="30.75" customHeight="1">
      <c r="A91" s="389"/>
      <c r="B91" s="13"/>
      <c r="C91" s="19" t="s">
        <v>345</v>
      </c>
      <c r="D91" s="14" t="s">
        <v>384</v>
      </c>
      <c r="E91" s="525">
        <v>4817</v>
      </c>
      <c r="F91" s="558">
        <f>SUM(G91:H91)</f>
        <v>4816.56</v>
      </c>
      <c r="G91" s="375">
        <v>4816.56</v>
      </c>
      <c r="H91" s="377"/>
      <c r="I91" s="171">
        <f>SUM(F91/E91)</f>
        <v>0.9999086568403571</v>
      </c>
      <c r="J91" s="574"/>
      <c r="K91" s="574"/>
    </row>
    <row r="92" spans="1:11" s="356" customFormat="1" ht="14.25" customHeight="1">
      <c r="A92" s="386"/>
      <c r="B92" s="12"/>
      <c r="C92" s="12"/>
      <c r="D92" s="357"/>
      <c r="E92" s="328"/>
      <c r="F92" s="368"/>
      <c r="G92" s="265"/>
      <c r="H92" s="266"/>
      <c r="I92" s="168"/>
      <c r="J92" s="574"/>
      <c r="K92" s="574"/>
    </row>
    <row r="93" spans="1:11" s="356" customFormat="1" ht="14.25" customHeight="1">
      <c r="A93" s="386"/>
      <c r="B93" s="12">
        <v>71095</v>
      </c>
      <c r="C93" s="13"/>
      <c r="D93" s="329" t="s">
        <v>110</v>
      </c>
      <c r="E93" s="301">
        <f>SUM(E94:E95)</f>
        <v>0</v>
      </c>
      <c r="F93" s="298">
        <f>SUM(F94:F95)</f>
        <v>19945.21</v>
      </c>
      <c r="G93" s="298">
        <f>SUM(G94:G95)</f>
        <v>19945.21</v>
      </c>
      <c r="H93" s="298">
        <f>SUM(H94:H95)</f>
        <v>0</v>
      </c>
      <c r="I93" s="167"/>
      <c r="J93" s="574"/>
      <c r="K93" s="574"/>
    </row>
    <row r="94" spans="1:11" s="356" customFormat="1" ht="30" customHeight="1" thickBot="1">
      <c r="A94" s="391"/>
      <c r="B94" s="378"/>
      <c r="C94" s="157" t="s">
        <v>392</v>
      </c>
      <c r="D94" s="1249" t="s">
        <v>393</v>
      </c>
      <c r="E94" s="534">
        <v>0</v>
      </c>
      <c r="F94" s="527">
        <f>G94+H94</f>
        <v>19945.21</v>
      </c>
      <c r="G94" s="527">
        <v>19945.21</v>
      </c>
      <c r="H94" s="561"/>
      <c r="I94" s="173"/>
      <c r="J94" s="574"/>
      <c r="K94" s="574"/>
    </row>
    <row r="95" spans="1:11" s="356" customFormat="1" ht="30.75" customHeight="1" hidden="1" thickBot="1">
      <c r="A95" s="405"/>
      <c r="B95" s="378"/>
      <c r="C95" s="1247" t="s">
        <v>101</v>
      </c>
      <c r="D95" s="26" t="s">
        <v>102</v>
      </c>
      <c r="E95" s="530">
        <v>0</v>
      </c>
      <c r="F95" s="549">
        <f>SUM(G95:H95)</f>
        <v>0</v>
      </c>
      <c r="G95" s="1248"/>
      <c r="H95" s="536"/>
      <c r="I95" s="170"/>
      <c r="J95" s="574"/>
      <c r="K95" s="574"/>
    </row>
    <row r="96" spans="1:11" s="356" customFormat="1" ht="14.25" customHeight="1" thickTop="1">
      <c r="A96" s="386"/>
      <c r="B96" s="12"/>
      <c r="C96" s="33"/>
      <c r="D96" s="18"/>
      <c r="E96" s="328"/>
      <c r="F96" s="327"/>
      <c r="G96" s="265"/>
      <c r="H96" s="266"/>
      <c r="I96" s="168"/>
      <c r="J96" s="574"/>
      <c r="K96" s="574"/>
    </row>
    <row r="97" spans="1:11" s="356" customFormat="1" ht="14.25" customHeight="1">
      <c r="A97" s="386">
        <v>750</v>
      </c>
      <c r="B97" s="355"/>
      <c r="C97" s="41"/>
      <c r="D97" s="329" t="s">
        <v>67</v>
      </c>
      <c r="E97" s="301">
        <f>SUM(E99+E102+E106+E110)</f>
        <v>567375</v>
      </c>
      <c r="F97" s="298">
        <f>SUM(F99+F102+F106+F110)</f>
        <v>135722.56</v>
      </c>
      <c r="G97" s="360">
        <f>SUM(G99+G102+G106+G110)</f>
        <v>135722.56</v>
      </c>
      <c r="H97" s="298">
        <f>SUM(H99+H102+H106+H110)</f>
        <v>0</v>
      </c>
      <c r="I97" s="167">
        <f>SUM(F97/E97)</f>
        <v>0.23921138576779025</v>
      </c>
      <c r="J97" s="574"/>
      <c r="K97" s="574"/>
    </row>
    <row r="98" spans="1:11" s="356" customFormat="1" ht="14.25" customHeight="1">
      <c r="A98" s="386"/>
      <c r="B98" s="12"/>
      <c r="C98" s="12"/>
      <c r="D98" s="357"/>
      <c r="E98" s="328"/>
      <c r="F98" s="327"/>
      <c r="G98" s="265"/>
      <c r="H98" s="266"/>
      <c r="I98" s="166"/>
      <c r="J98" s="574"/>
      <c r="K98" s="574"/>
    </row>
    <row r="99" spans="1:11" s="356" customFormat="1" ht="14.25" customHeight="1">
      <c r="A99" s="386"/>
      <c r="B99" s="12">
        <v>75011</v>
      </c>
      <c r="C99" s="13"/>
      <c r="D99" s="329" t="s">
        <v>103</v>
      </c>
      <c r="E99" s="301">
        <f>SUM(E100:E100)</f>
        <v>12500</v>
      </c>
      <c r="F99" s="298">
        <f>SUM(F100:F100)</f>
        <v>4381.42</v>
      </c>
      <c r="G99" s="298">
        <f>SUM(G100:G100)</f>
        <v>4381.42</v>
      </c>
      <c r="H99" s="298">
        <f>SUM(H100:H100)</f>
        <v>0</v>
      </c>
      <c r="I99" s="167">
        <f>SUM(F99/E99)</f>
        <v>0.3505136</v>
      </c>
      <c r="J99" s="574"/>
      <c r="K99" s="574"/>
    </row>
    <row r="100" spans="1:11" s="356" customFormat="1" ht="25.5">
      <c r="A100" s="386"/>
      <c r="B100" s="13"/>
      <c r="C100" s="19" t="s">
        <v>104</v>
      </c>
      <c r="D100" s="14" t="s">
        <v>105</v>
      </c>
      <c r="E100" s="525">
        <v>12500</v>
      </c>
      <c r="F100" s="558">
        <f>SUM(G100:H100)</f>
        <v>4381.42</v>
      </c>
      <c r="G100" s="375">
        <v>4381.42</v>
      </c>
      <c r="H100" s="376"/>
      <c r="I100" s="171">
        <f>SUM(F100/E100)</f>
        <v>0.3505136</v>
      </c>
      <c r="J100" s="574"/>
      <c r="K100" s="574"/>
    </row>
    <row r="101" spans="1:11" s="356" customFormat="1" ht="12.75">
      <c r="A101" s="386"/>
      <c r="B101" s="12"/>
      <c r="C101" s="20"/>
      <c r="D101" s="18"/>
      <c r="E101" s="328"/>
      <c r="F101" s="388"/>
      <c r="G101" s="374"/>
      <c r="H101" s="371"/>
      <c r="I101" s="166"/>
      <c r="J101" s="574"/>
      <c r="K101" s="574"/>
    </row>
    <row r="102" spans="1:11" s="356" customFormat="1" ht="12.75">
      <c r="A102" s="386"/>
      <c r="B102" s="12">
        <v>75023</v>
      </c>
      <c r="C102" s="21"/>
      <c r="D102" s="14" t="s">
        <v>106</v>
      </c>
      <c r="E102" s="301">
        <f>SUM(E103:E104)</f>
        <v>14000</v>
      </c>
      <c r="F102" s="298">
        <f>SUM(F103:F104)</f>
        <v>9631.89</v>
      </c>
      <c r="G102" s="298">
        <f>SUM(G103:G104)</f>
        <v>9631.89</v>
      </c>
      <c r="H102" s="298">
        <f>SUM(H103:H104)</f>
        <v>0</v>
      </c>
      <c r="I102" s="167">
        <f>SUM(F102/E102)</f>
        <v>0.6879921428571428</v>
      </c>
      <c r="J102" s="574"/>
      <c r="K102" s="574"/>
    </row>
    <row r="103" spans="1:11" s="356" customFormat="1" ht="25.5" customHeight="1" hidden="1">
      <c r="A103" s="386"/>
      <c r="B103" s="12"/>
      <c r="C103" s="22" t="s">
        <v>136</v>
      </c>
      <c r="D103" s="14" t="s">
        <v>137</v>
      </c>
      <c r="E103" s="525">
        <v>0</v>
      </c>
      <c r="F103" s="558">
        <f>SUM(G103:H103)</f>
        <v>0</v>
      </c>
      <c r="G103" s="375">
        <v>0</v>
      </c>
      <c r="H103" s="376"/>
      <c r="I103" s="171"/>
      <c r="J103" s="574"/>
      <c r="K103" s="574"/>
    </row>
    <row r="104" spans="1:11" s="356" customFormat="1" ht="25.5" customHeight="1">
      <c r="A104" s="386"/>
      <c r="B104" s="13"/>
      <c r="C104" s="22" t="s">
        <v>101</v>
      </c>
      <c r="D104" s="14" t="s">
        <v>102</v>
      </c>
      <c r="E104" s="525">
        <v>14000</v>
      </c>
      <c r="F104" s="558">
        <f>SUM(G104:H104)</f>
        <v>9631.89</v>
      </c>
      <c r="G104" s="375">
        <v>9631.89</v>
      </c>
      <c r="H104" s="376"/>
      <c r="I104" s="171">
        <f>SUM(F104/E104)</f>
        <v>0.6879921428571428</v>
      </c>
      <c r="J104" s="574"/>
      <c r="K104" s="574"/>
    </row>
    <row r="105" spans="1:11" s="356" customFormat="1" ht="12.75">
      <c r="A105" s="386"/>
      <c r="B105" s="12"/>
      <c r="C105" s="23"/>
      <c r="D105" s="24"/>
      <c r="E105" s="328"/>
      <c r="F105" s="327"/>
      <c r="G105" s="315"/>
      <c r="H105" s="314"/>
      <c r="I105" s="166"/>
      <c r="J105" s="574"/>
      <c r="K105" s="574"/>
    </row>
    <row r="106" spans="1:11" s="356" customFormat="1" ht="14.25" customHeight="1">
      <c r="A106" s="386"/>
      <c r="B106" s="12">
        <v>75075</v>
      </c>
      <c r="C106" s="13"/>
      <c r="D106" s="329" t="s">
        <v>107</v>
      </c>
      <c r="E106" s="301">
        <f>SUM(E107:E108)</f>
        <v>199693</v>
      </c>
      <c r="F106" s="298">
        <f>SUM(F107:F108)</f>
        <v>57068.850000000006</v>
      </c>
      <c r="G106" s="298">
        <f>SUM(G107:G108)</f>
        <v>57068.850000000006</v>
      </c>
      <c r="H106" s="298">
        <f>SUM(H107:H108)</f>
        <v>0</v>
      </c>
      <c r="I106" s="167">
        <f>SUM(F106/E106)</f>
        <v>0.28578292679262673</v>
      </c>
      <c r="J106" s="574"/>
      <c r="K106" s="574"/>
    </row>
    <row r="107" spans="1:11" s="356" customFormat="1" ht="40.5" customHeight="1">
      <c r="A107" s="386"/>
      <c r="B107" s="12"/>
      <c r="C107" s="16" t="s">
        <v>108</v>
      </c>
      <c r="D107" s="17" t="s">
        <v>109</v>
      </c>
      <c r="E107" s="525">
        <v>192979</v>
      </c>
      <c r="F107" s="558">
        <f>SUM(G107:H107)</f>
        <v>50354.87</v>
      </c>
      <c r="G107" s="375">
        <v>50354.87</v>
      </c>
      <c r="H107" s="523"/>
      <c r="I107" s="171">
        <f>SUM(F107/E107)</f>
        <v>0.26093445400794907</v>
      </c>
      <c r="J107" s="574"/>
      <c r="K107" s="574"/>
    </row>
    <row r="108" spans="1:11" s="356" customFormat="1" ht="41.25" customHeight="1">
      <c r="A108" s="386"/>
      <c r="B108" s="13"/>
      <c r="C108" s="16" t="s">
        <v>367</v>
      </c>
      <c r="D108" s="17" t="s">
        <v>109</v>
      </c>
      <c r="E108" s="382">
        <v>6714</v>
      </c>
      <c r="F108" s="330">
        <v>6713.98</v>
      </c>
      <c r="G108" s="265">
        <v>6713.98</v>
      </c>
      <c r="H108" s="371"/>
      <c r="I108" s="171">
        <f>SUM(F108/E108)</f>
        <v>0.9999970211498361</v>
      </c>
      <c r="J108" s="574"/>
      <c r="K108" s="574"/>
    </row>
    <row r="109" spans="1:11" s="356" customFormat="1" ht="14.25" customHeight="1">
      <c r="A109" s="386"/>
      <c r="B109" s="12"/>
      <c r="C109" s="12"/>
      <c r="D109" s="357"/>
      <c r="E109" s="326"/>
      <c r="F109" s="498"/>
      <c r="G109" s="361"/>
      <c r="H109" s="362"/>
      <c r="I109" s="166"/>
      <c r="J109" s="574"/>
      <c r="K109" s="574"/>
    </row>
    <row r="110" spans="1:11" s="356" customFormat="1" ht="14.25" customHeight="1">
      <c r="A110" s="386"/>
      <c r="B110" s="12">
        <v>75095</v>
      </c>
      <c r="C110" s="13"/>
      <c r="D110" s="329" t="s">
        <v>110</v>
      </c>
      <c r="E110" s="301">
        <f>SUM(E111:E114)</f>
        <v>341182</v>
      </c>
      <c r="F110" s="298">
        <f>SUM(F111:F114)</f>
        <v>64640.4</v>
      </c>
      <c r="G110" s="298">
        <f>SUM(G111:G114)</f>
        <v>64640.4</v>
      </c>
      <c r="H110" s="298">
        <f>SUM(H111:H114)</f>
        <v>0</v>
      </c>
      <c r="I110" s="167">
        <f>SUM(F110/E110)</f>
        <v>0.18946017081792124</v>
      </c>
      <c r="J110" s="574"/>
      <c r="K110" s="574"/>
    </row>
    <row r="111" spans="1:11" s="356" customFormat="1" ht="25.5" customHeight="1">
      <c r="A111" s="386"/>
      <c r="B111" s="12"/>
      <c r="C111" s="22" t="s">
        <v>136</v>
      </c>
      <c r="D111" s="14" t="s">
        <v>137</v>
      </c>
      <c r="E111" s="525">
        <v>43</v>
      </c>
      <c r="F111" s="558">
        <f>SUM(G111:H111)</f>
        <v>49.12</v>
      </c>
      <c r="G111" s="375">
        <v>49.12</v>
      </c>
      <c r="H111" s="376"/>
      <c r="I111" s="171">
        <f>SUM(F111/E111)</f>
        <v>1.1423255813953488</v>
      </c>
      <c r="J111" s="574"/>
      <c r="K111" s="574"/>
    </row>
    <row r="112" spans="1:11" s="356" customFormat="1" ht="25.5" customHeight="1">
      <c r="A112" s="386"/>
      <c r="B112" s="12"/>
      <c r="C112" s="29" t="s">
        <v>101</v>
      </c>
      <c r="D112" s="17" t="s">
        <v>102</v>
      </c>
      <c r="E112" s="383">
        <v>0</v>
      </c>
      <c r="F112" s="558">
        <f>SUM(G112:H112)</f>
        <v>0.49</v>
      </c>
      <c r="G112" s="384">
        <v>0.49</v>
      </c>
      <c r="H112" s="385"/>
      <c r="I112" s="171"/>
      <c r="J112" s="574"/>
      <c r="K112" s="574"/>
    </row>
    <row r="113" spans="1:11" s="356" customFormat="1" ht="25.5" customHeight="1">
      <c r="A113" s="386"/>
      <c r="B113" s="12"/>
      <c r="C113" s="138" t="s">
        <v>348</v>
      </c>
      <c r="D113" s="17" t="s">
        <v>102</v>
      </c>
      <c r="E113" s="301">
        <v>0</v>
      </c>
      <c r="F113" s="558">
        <f>SUM(G113:H113)</f>
        <v>3503.5</v>
      </c>
      <c r="G113" s="360">
        <v>3503.5</v>
      </c>
      <c r="H113" s="358"/>
      <c r="I113" s="168"/>
      <c r="J113" s="574"/>
      <c r="K113" s="574"/>
    </row>
    <row r="114" spans="1:11" s="356" customFormat="1" ht="40.5" customHeight="1" thickBot="1">
      <c r="A114" s="1251"/>
      <c r="B114" s="435"/>
      <c r="C114" s="1252" t="s">
        <v>108</v>
      </c>
      <c r="D114" s="1265" t="s">
        <v>109</v>
      </c>
      <c r="E114" s="1266">
        <v>341139</v>
      </c>
      <c r="F114" s="1267">
        <f>SUM(G114:H114)</f>
        <v>61087.29</v>
      </c>
      <c r="G114" s="1268">
        <v>61087.29</v>
      </c>
      <c r="H114" s="1269"/>
      <c r="I114" s="1258">
        <f>SUM(F114/E114)</f>
        <v>0.17906862012258934</v>
      </c>
      <c r="J114" s="574"/>
      <c r="K114" s="574"/>
    </row>
    <row r="115" spans="1:11" s="296" customFormat="1" ht="14.25" customHeight="1">
      <c r="A115" s="1270">
        <v>1</v>
      </c>
      <c r="B115" s="1260">
        <v>2</v>
      </c>
      <c r="C115" s="1260">
        <v>3</v>
      </c>
      <c r="D115" s="1260">
        <v>4</v>
      </c>
      <c r="E115" s="1271">
        <v>5</v>
      </c>
      <c r="F115" s="1262">
        <v>6</v>
      </c>
      <c r="G115" s="1262">
        <v>7</v>
      </c>
      <c r="H115" s="1272">
        <v>8</v>
      </c>
      <c r="I115" s="1264">
        <v>9</v>
      </c>
      <c r="J115" s="569"/>
      <c r="K115" s="569"/>
    </row>
    <row r="116" spans="1:11" s="356" customFormat="1" ht="7.5" customHeight="1">
      <c r="A116" s="386"/>
      <c r="B116" s="12"/>
      <c r="C116" s="12"/>
      <c r="D116" s="357"/>
      <c r="E116" s="499"/>
      <c r="F116" s="374"/>
      <c r="G116" s="374"/>
      <c r="H116" s="371"/>
      <c r="I116" s="168"/>
      <c r="J116" s="574"/>
      <c r="K116" s="574"/>
    </row>
    <row r="117" spans="1:11" s="356" customFormat="1" ht="14.25" customHeight="1">
      <c r="A117" s="386">
        <v>754</v>
      </c>
      <c r="B117" s="387"/>
      <c r="C117" s="12"/>
      <c r="D117" s="357" t="s">
        <v>111</v>
      </c>
      <c r="E117" s="458"/>
      <c r="F117" s="371"/>
      <c r="G117" s="374"/>
      <c r="H117" s="371"/>
      <c r="I117" s="168"/>
      <c r="J117" s="574"/>
      <c r="K117" s="574"/>
    </row>
    <row r="118" spans="1:11" s="356" customFormat="1" ht="14.25" customHeight="1">
      <c r="A118" s="386"/>
      <c r="B118" s="355"/>
      <c r="C118" s="13"/>
      <c r="D118" s="329" t="s">
        <v>112</v>
      </c>
      <c r="E118" s="360">
        <f>SUM(E124+E127)+E120</f>
        <v>46938</v>
      </c>
      <c r="F118" s="360">
        <f>SUM(F124+F127)+F120</f>
        <v>31903.879999999997</v>
      </c>
      <c r="G118" s="360">
        <f>SUM(G124+G127)+G120</f>
        <v>23403.879999999997</v>
      </c>
      <c r="H118" s="360">
        <f>SUM(H124+H127)+H120</f>
        <v>8500</v>
      </c>
      <c r="I118" s="167">
        <f>SUM(F118/E118)</f>
        <v>0.6797025863905577</v>
      </c>
      <c r="J118" s="574"/>
      <c r="K118" s="574"/>
    </row>
    <row r="119" spans="1:11" s="356" customFormat="1" ht="14.25" customHeight="1">
      <c r="A119" s="386"/>
      <c r="B119" s="12"/>
      <c r="C119" s="12"/>
      <c r="D119" s="357"/>
      <c r="E119" s="328"/>
      <c r="F119" s="388"/>
      <c r="G119" s="370"/>
      <c r="H119" s="388"/>
      <c r="I119" s="166"/>
      <c r="J119" s="574"/>
      <c r="K119" s="574"/>
    </row>
    <row r="120" spans="1:11" s="356" customFormat="1" ht="14.25" customHeight="1">
      <c r="A120" s="386"/>
      <c r="B120" s="12">
        <v>75405</v>
      </c>
      <c r="C120" s="13"/>
      <c r="D120" s="329" t="s">
        <v>297</v>
      </c>
      <c r="E120" s="298">
        <f>SUM(E121+E122)</f>
        <v>10000</v>
      </c>
      <c r="F120" s="298">
        <f>SUM(F121+F122)</f>
        <v>10000</v>
      </c>
      <c r="G120" s="298">
        <f>SUM(G121+G122)</f>
        <v>1500</v>
      </c>
      <c r="H120" s="298">
        <f>SUM(H121+H122)</f>
        <v>8500</v>
      </c>
      <c r="I120" s="167">
        <f>SUM(F120/E120)</f>
        <v>1</v>
      </c>
      <c r="J120" s="574"/>
      <c r="K120" s="574"/>
    </row>
    <row r="121" spans="1:11" s="356" customFormat="1" ht="45.75" customHeight="1">
      <c r="A121" s="389"/>
      <c r="B121" s="12"/>
      <c r="C121" s="36">
        <v>2700</v>
      </c>
      <c r="D121" s="17" t="s">
        <v>109</v>
      </c>
      <c r="E121" s="383">
        <v>1500</v>
      </c>
      <c r="F121" s="521">
        <f>SUM(G121:H121)</f>
        <v>1500</v>
      </c>
      <c r="G121" s="375">
        <v>1500</v>
      </c>
      <c r="H121" s="377"/>
      <c r="I121" s="171">
        <f>SUM(F121/E121)</f>
        <v>1</v>
      </c>
      <c r="J121" s="574"/>
      <c r="K121" s="574"/>
    </row>
    <row r="122" spans="1:11" s="356" customFormat="1" ht="25.5">
      <c r="A122" s="386"/>
      <c r="B122" s="13"/>
      <c r="C122" s="13">
        <v>6290</v>
      </c>
      <c r="D122" s="14" t="s">
        <v>89</v>
      </c>
      <c r="E122" s="301">
        <v>8500</v>
      </c>
      <c r="F122" s="298">
        <f>SUM(G122:H122)</f>
        <v>8500</v>
      </c>
      <c r="G122" s="363"/>
      <c r="H122" s="390">
        <v>8500</v>
      </c>
      <c r="I122" s="167">
        <f>SUM(F122/E122)</f>
        <v>1</v>
      </c>
      <c r="J122" s="574"/>
      <c r="K122" s="574"/>
    </row>
    <row r="123" spans="1:11" s="356" customFormat="1" ht="14.25" customHeight="1" hidden="1">
      <c r="A123" s="386"/>
      <c r="B123" s="12"/>
      <c r="C123" s="12"/>
      <c r="D123" s="357"/>
      <c r="E123" s="328"/>
      <c r="F123" s="388"/>
      <c r="G123" s="370"/>
      <c r="H123" s="388"/>
      <c r="I123" s="166"/>
      <c r="J123" s="574"/>
      <c r="K123" s="574"/>
    </row>
    <row r="124" spans="1:11" s="356" customFormat="1" ht="14.25" customHeight="1" hidden="1">
      <c r="A124" s="386"/>
      <c r="B124" s="12">
        <v>75412</v>
      </c>
      <c r="C124" s="13"/>
      <c r="D124" s="329" t="s">
        <v>113</v>
      </c>
      <c r="E124" s="301">
        <f>SUM(E125)</f>
        <v>0</v>
      </c>
      <c r="F124" s="298">
        <f>F125</f>
        <v>0</v>
      </c>
      <c r="G124" s="360">
        <f>SUM(G125)</f>
        <v>0</v>
      </c>
      <c r="H124" s="298">
        <f>SUM(H125)</f>
        <v>0</v>
      </c>
      <c r="I124" s="167" t="e">
        <f>SUM(F124/E124)</f>
        <v>#DIV/0!</v>
      </c>
      <c r="J124" s="574"/>
      <c r="K124" s="574"/>
    </row>
    <row r="125" spans="1:11" s="356" customFormat="1" ht="25.5" hidden="1">
      <c r="A125" s="386"/>
      <c r="B125" s="13"/>
      <c r="C125" s="13">
        <v>6298</v>
      </c>
      <c r="D125" s="14" t="s">
        <v>89</v>
      </c>
      <c r="E125" s="301">
        <v>0</v>
      </c>
      <c r="F125" s="298">
        <f>SUM(G125:H125)</f>
        <v>0</v>
      </c>
      <c r="G125" s="375"/>
      <c r="H125" s="377">
        <v>0</v>
      </c>
      <c r="I125" s="171" t="e">
        <f>SUM(F125/E125)</f>
        <v>#DIV/0!</v>
      </c>
      <c r="J125" s="574"/>
      <c r="K125" s="574"/>
    </row>
    <row r="126" spans="1:11" s="356" customFormat="1" ht="14.25" customHeight="1">
      <c r="A126" s="386"/>
      <c r="B126" s="12"/>
      <c r="C126" s="12"/>
      <c r="D126" s="357"/>
      <c r="E126" s="328"/>
      <c r="F126" s="388"/>
      <c r="G126" s="370"/>
      <c r="H126" s="388"/>
      <c r="I126" s="166"/>
      <c r="J126" s="574"/>
      <c r="K126" s="574"/>
    </row>
    <row r="127" spans="1:11" s="356" customFormat="1" ht="14.25" customHeight="1">
      <c r="A127" s="386"/>
      <c r="B127" s="12">
        <v>75416</v>
      </c>
      <c r="C127" s="12"/>
      <c r="D127" s="357" t="s">
        <v>114</v>
      </c>
      <c r="E127" s="328">
        <f>SUM(E128:E129)</f>
        <v>36938</v>
      </c>
      <c r="F127" s="327">
        <f>SUM(F128:F129)</f>
        <v>21903.879999999997</v>
      </c>
      <c r="G127" s="327">
        <f>SUM(G128:G129)</f>
        <v>21903.879999999997</v>
      </c>
      <c r="H127" s="327">
        <f>SUM(H128:H129)</f>
        <v>0</v>
      </c>
      <c r="I127" s="168">
        <f>SUM(F127/E127)</f>
        <v>0.5929904163733823</v>
      </c>
      <c r="J127" s="574"/>
      <c r="K127" s="574"/>
    </row>
    <row r="128" spans="1:11" s="356" customFormat="1" ht="25.5" customHeight="1">
      <c r="A128" s="386"/>
      <c r="B128" s="12"/>
      <c r="C128" s="19" t="s">
        <v>115</v>
      </c>
      <c r="D128" s="17" t="s">
        <v>116</v>
      </c>
      <c r="E128" s="383">
        <v>35000</v>
      </c>
      <c r="F128" s="521">
        <f>SUM(G128:H128)</f>
        <v>19965.6</v>
      </c>
      <c r="G128" s="375">
        <v>19965.6</v>
      </c>
      <c r="H128" s="376"/>
      <c r="I128" s="171">
        <f>SUM(F128/E128)</f>
        <v>0.5704457142857142</v>
      </c>
      <c r="J128" s="574"/>
      <c r="K128" s="574"/>
    </row>
    <row r="129" spans="1:11" s="356" customFormat="1" ht="25.5" customHeight="1" thickBot="1">
      <c r="A129" s="391"/>
      <c r="B129" s="197"/>
      <c r="C129" s="392" t="s">
        <v>101</v>
      </c>
      <c r="D129" s="393" t="s">
        <v>102</v>
      </c>
      <c r="E129" s="527">
        <v>1938</v>
      </c>
      <c r="F129" s="527">
        <f>SUM(G129:H129)</f>
        <v>1938.28</v>
      </c>
      <c r="G129" s="527">
        <v>1938.28</v>
      </c>
      <c r="H129" s="394"/>
      <c r="I129" s="395">
        <f>SUM(F129/E129)</f>
        <v>1.0001444788441691</v>
      </c>
      <c r="J129" s="574"/>
      <c r="K129" s="574"/>
    </row>
    <row r="130" spans="1:11" s="356" customFormat="1" ht="5.25" customHeight="1" thickTop="1">
      <c r="A130" s="386"/>
      <c r="B130" s="12"/>
      <c r="C130" s="12"/>
      <c r="D130" s="357"/>
      <c r="E130" s="328"/>
      <c r="F130" s="388"/>
      <c r="G130" s="374"/>
      <c r="H130" s="371"/>
      <c r="I130" s="168"/>
      <c r="J130" s="574"/>
      <c r="K130" s="574"/>
    </row>
    <row r="131" spans="1:11" s="356" customFormat="1" ht="14.25" customHeight="1">
      <c r="A131" s="386">
        <v>756</v>
      </c>
      <c r="B131" s="387"/>
      <c r="C131" s="12"/>
      <c r="D131" s="357" t="s">
        <v>117</v>
      </c>
      <c r="E131" s="328"/>
      <c r="F131" s="388"/>
      <c r="G131" s="374"/>
      <c r="H131" s="371"/>
      <c r="I131" s="168"/>
      <c r="J131" s="574"/>
      <c r="K131" s="574"/>
    </row>
    <row r="132" spans="1:11" s="356" customFormat="1" ht="14.25" customHeight="1">
      <c r="A132" s="386"/>
      <c r="B132" s="387"/>
      <c r="C132" s="12"/>
      <c r="D132" s="357" t="s">
        <v>118</v>
      </c>
      <c r="E132" s="328"/>
      <c r="F132" s="388"/>
      <c r="G132" s="374"/>
      <c r="H132" s="371"/>
      <c r="I132" s="168"/>
      <c r="J132" s="574"/>
      <c r="K132" s="574"/>
    </row>
    <row r="133" spans="1:11" s="356" customFormat="1" ht="14.25" customHeight="1">
      <c r="A133" s="386"/>
      <c r="B133" s="387"/>
      <c r="C133" s="12"/>
      <c r="D133" s="357" t="s">
        <v>119</v>
      </c>
      <c r="E133" s="528"/>
      <c r="F133" s="388"/>
      <c r="G133" s="374"/>
      <c r="H133" s="371"/>
      <c r="I133" s="168"/>
      <c r="J133" s="574"/>
      <c r="K133" s="574"/>
    </row>
    <row r="134" spans="1:11" s="356" customFormat="1" ht="14.25" customHeight="1">
      <c r="A134" s="386"/>
      <c r="B134" s="387"/>
      <c r="C134" s="13"/>
      <c r="D134" s="329" t="s">
        <v>74</v>
      </c>
      <c r="E134" s="301">
        <f>SUM(E136+E141+E154+E169+E179)</f>
        <v>60096705</v>
      </c>
      <c r="F134" s="298">
        <f>SUM(F136+F141+F154+F169+F179)</f>
        <v>48698191.62</v>
      </c>
      <c r="G134" s="298">
        <f>SUM(G136+G141+G154+G169+G179)</f>
        <v>48698191.62</v>
      </c>
      <c r="H134" s="298">
        <f>SUM(H136+H141+H154+H169+H179)</f>
        <v>0</v>
      </c>
      <c r="I134" s="167">
        <f>SUM(F134/E134)</f>
        <v>0.8103304768539307</v>
      </c>
      <c r="J134" s="574"/>
      <c r="K134" s="574"/>
    </row>
    <row r="135" spans="1:11" s="356" customFormat="1" ht="14.25" customHeight="1">
      <c r="A135" s="386"/>
      <c r="B135" s="139"/>
      <c r="C135" s="40"/>
      <c r="D135" s="357"/>
      <c r="E135" s="328"/>
      <c r="F135" s="388"/>
      <c r="G135" s="370"/>
      <c r="H135" s="388"/>
      <c r="I135" s="166"/>
      <c r="J135" s="574"/>
      <c r="K135" s="574"/>
    </row>
    <row r="136" spans="1:11" s="356" customFormat="1" ht="14.25" customHeight="1">
      <c r="A136" s="386"/>
      <c r="B136" s="12">
        <v>75601</v>
      </c>
      <c r="C136" s="41"/>
      <c r="D136" s="329" t="s">
        <v>120</v>
      </c>
      <c r="E136" s="301">
        <f>SUM(E137)+E138</f>
        <v>151966</v>
      </c>
      <c r="F136" s="298">
        <f>SUM(F137)+F138</f>
        <v>119476.13</v>
      </c>
      <c r="G136" s="298">
        <f>SUM(G137)+G138</f>
        <v>119476.13</v>
      </c>
      <c r="H136" s="298">
        <f>SUM(H137)+H138</f>
        <v>0</v>
      </c>
      <c r="I136" s="167">
        <f>SUM(F136/E136)</f>
        <v>0.7862030322572154</v>
      </c>
      <c r="J136" s="574"/>
      <c r="K136" s="574"/>
    </row>
    <row r="137" spans="1:15" s="356" customFormat="1" ht="27.75" customHeight="1">
      <c r="A137" s="386"/>
      <c r="B137" s="12"/>
      <c r="C137" s="154" t="s">
        <v>121</v>
      </c>
      <c r="D137" s="14" t="s">
        <v>122</v>
      </c>
      <c r="E137" s="301">
        <v>150000</v>
      </c>
      <c r="F137" s="298">
        <f>SUM(G137:H137)</f>
        <v>115941.27</v>
      </c>
      <c r="G137" s="363">
        <v>115941.27</v>
      </c>
      <c r="H137" s="364"/>
      <c r="I137" s="171">
        <f>SUM(F137/E137)</f>
        <v>0.7729418</v>
      </c>
      <c r="J137" s="575"/>
      <c r="K137" s="575"/>
      <c r="L137" s="342"/>
      <c r="M137" s="342"/>
      <c r="N137" s="342"/>
      <c r="O137" s="342"/>
    </row>
    <row r="138" spans="1:15" s="356" customFormat="1" ht="25.5" customHeight="1">
      <c r="A138" s="386"/>
      <c r="B138" s="13"/>
      <c r="C138" s="154" t="s">
        <v>138</v>
      </c>
      <c r="D138" s="14" t="s">
        <v>139</v>
      </c>
      <c r="E138" s="301">
        <v>1966</v>
      </c>
      <c r="F138" s="360">
        <f>SUM(G138:H138)</f>
        <v>3534.86</v>
      </c>
      <c r="G138" s="363">
        <v>3534.86</v>
      </c>
      <c r="H138" s="365"/>
      <c r="I138" s="167">
        <f>SUM(F138/E138)</f>
        <v>1.797995930824008</v>
      </c>
      <c r="J138" s="575"/>
      <c r="K138" s="583"/>
      <c r="L138" s="342"/>
      <c r="M138" s="342"/>
      <c r="N138" s="342"/>
      <c r="O138" s="342"/>
    </row>
    <row r="139" spans="1:15" s="356" customFormat="1" ht="14.25" customHeight="1">
      <c r="A139" s="386"/>
      <c r="B139" s="12">
        <v>75615</v>
      </c>
      <c r="C139" s="27"/>
      <c r="D139" s="357" t="s">
        <v>123</v>
      </c>
      <c r="E139" s="328"/>
      <c r="F139" s="327"/>
      <c r="G139" s="265"/>
      <c r="H139" s="266"/>
      <c r="I139" s="168"/>
      <c r="J139" s="575"/>
      <c r="K139" s="583"/>
      <c r="L139" s="342"/>
      <c r="M139" s="342"/>
      <c r="N139" s="342"/>
      <c r="O139" s="342"/>
    </row>
    <row r="140" spans="1:15" s="356" customFormat="1" ht="14.25" customHeight="1">
      <c r="A140" s="386"/>
      <c r="B140" s="12"/>
      <c r="C140" s="27"/>
      <c r="D140" s="357" t="s">
        <v>124</v>
      </c>
      <c r="E140" s="328"/>
      <c r="F140" s="327"/>
      <c r="G140" s="265"/>
      <c r="H140" s="266"/>
      <c r="I140" s="168"/>
      <c r="J140" s="575"/>
      <c r="K140" s="583"/>
      <c r="L140" s="342"/>
      <c r="M140" s="342"/>
      <c r="N140" s="342"/>
      <c r="O140" s="342"/>
    </row>
    <row r="141" spans="1:15" s="356" customFormat="1" ht="14.25" customHeight="1">
      <c r="A141" s="386"/>
      <c r="B141" s="12"/>
      <c r="C141" s="28"/>
      <c r="D141" s="329" t="s">
        <v>125</v>
      </c>
      <c r="E141" s="301">
        <f>SUM(E142:E150)</f>
        <v>33787527</v>
      </c>
      <c r="F141" s="298">
        <f>SUM(F142:F150)</f>
        <v>27068821.47</v>
      </c>
      <c r="G141" s="360">
        <f>SUM(G142:G150)</f>
        <v>27068821.47</v>
      </c>
      <c r="H141" s="298">
        <f>SUM(H142:H150)</f>
        <v>0</v>
      </c>
      <c r="I141" s="167">
        <f aca="true" t="shared" si="2" ref="I141:I150">SUM(F141/E141)</f>
        <v>0.8011483489158587</v>
      </c>
      <c r="J141" s="575"/>
      <c r="K141" s="583"/>
      <c r="L141" s="342"/>
      <c r="M141" s="342"/>
      <c r="N141" s="342"/>
      <c r="O141" s="342"/>
    </row>
    <row r="142" spans="1:15" s="356" customFormat="1" ht="25.5" customHeight="1">
      <c r="A142" s="386"/>
      <c r="B142" s="12"/>
      <c r="C142" s="29" t="s">
        <v>126</v>
      </c>
      <c r="D142" s="17" t="s">
        <v>127</v>
      </c>
      <c r="E142" s="383">
        <v>32800000</v>
      </c>
      <c r="F142" s="384">
        <f aca="true" t="shared" si="3" ref="F142:F150">SUM(G142:H142)</f>
        <v>26183260.78</v>
      </c>
      <c r="G142" s="265">
        <v>26183260.78</v>
      </c>
      <c r="H142" s="371"/>
      <c r="I142" s="167">
        <f t="shared" si="2"/>
        <v>0.7982701457317074</v>
      </c>
      <c r="J142" s="575"/>
      <c r="K142" s="583"/>
      <c r="L142" s="342"/>
      <c r="M142" s="342"/>
      <c r="N142" s="342"/>
      <c r="O142" s="342"/>
    </row>
    <row r="143" spans="1:15" s="356" customFormat="1" ht="25.5" customHeight="1">
      <c r="A143" s="386"/>
      <c r="B143" s="12"/>
      <c r="C143" s="28" t="s">
        <v>128</v>
      </c>
      <c r="D143" s="14" t="s">
        <v>129</v>
      </c>
      <c r="E143" s="383">
        <v>48000</v>
      </c>
      <c r="F143" s="384">
        <f t="shared" si="3"/>
        <v>36547.5</v>
      </c>
      <c r="G143" s="375">
        <v>36547.5</v>
      </c>
      <c r="H143" s="376"/>
      <c r="I143" s="167">
        <f t="shared" si="2"/>
        <v>0.76140625</v>
      </c>
      <c r="J143" s="575"/>
      <c r="K143" s="583"/>
      <c r="L143" s="342"/>
      <c r="M143" s="342"/>
      <c r="N143" s="342"/>
      <c r="O143" s="342"/>
    </row>
    <row r="144" spans="1:15" s="356" customFormat="1" ht="25.5" customHeight="1">
      <c r="A144" s="386"/>
      <c r="B144" s="12"/>
      <c r="C144" s="29" t="s">
        <v>130</v>
      </c>
      <c r="D144" s="17" t="s">
        <v>131</v>
      </c>
      <c r="E144" s="383">
        <v>190000</v>
      </c>
      <c r="F144" s="384">
        <f t="shared" si="3"/>
        <v>144500.8</v>
      </c>
      <c r="G144" s="265">
        <v>144500.8</v>
      </c>
      <c r="H144" s="371"/>
      <c r="I144" s="167">
        <f t="shared" si="2"/>
        <v>0.7605305263157894</v>
      </c>
      <c r="J144" s="575"/>
      <c r="K144" s="583"/>
      <c r="L144" s="342"/>
      <c r="M144" s="342"/>
      <c r="N144" s="342"/>
      <c r="O144" s="342"/>
    </row>
    <row r="145" spans="1:15" s="356" customFormat="1" ht="25.5" customHeight="1">
      <c r="A145" s="386"/>
      <c r="B145" s="12"/>
      <c r="C145" s="29" t="s">
        <v>132</v>
      </c>
      <c r="D145" s="17" t="s">
        <v>133</v>
      </c>
      <c r="E145" s="383">
        <v>170000</v>
      </c>
      <c r="F145" s="384">
        <f t="shared" si="3"/>
        <v>169621.5</v>
      </c>
      <c r="G145" s="375">
        <v>169621.5</v>
      </c>
      <c r="H145" s="376"/>
      <c r="I145" s="167">
        <f t="shared" si="2"/>
        <v>0.9977735294117647</v>
      </c>
      <c r="J145" s="575"/>
      <c r="K145" s="583"/>
      <c r="L145" s="342"/>
      <c r="M145" s="342"/>
      <c r="N145" s="342"/>
      <c r="O145" s="342"/>
    </row>
    <row r="146" spans="1:15" s="356" customFormat="1" ht="25.5" customHeight="1">
      <c r="A146" s="386"/>
      <c r="B146" s="12"/>
      <c r="C146" s="29" t="s">
        <v>134</v>
      </c>
      <c r="D146" s="17" t="s">
        <v>135</v>
      </c>
      <c r="E146" s="383">
        <v>16937</v>
      </c>
      <c r="F146" s="384">
        <f t="shared" si="3"/>
        <v>20179.4</v>
      </c>
      <c r="G146" s="265">
        <v>20179.4</v>
      </c>
      <c r="H146" s="371"/>
      <c r="I146" s="167">
        <f t="shared" si="2"/>
        <v>1.191438861663813</v>
      </c>
      <c r="J146" s="575"/>
      <c r="K146" s="583"/>
      <c r="L146" s="342"/>
      <c r="M146" s="342"/>
      <c r="N146" s="342"/>
      <c r="O146" s="342"/>
    </row>
    <row r="147" spans="1:15" s="356" customFormat="1" ht="25.5" customHeight="1">
      <c r="A147" s="386"/>
      <c r="B147" s="12"/>
      <c r="C147" s="29" t="s">
        <v>136</v>
      </c>
      <c r="D147" s="17" t="s">
        <v>137</v>
      </c>
      <c r="E147" s="383">
        <v>1000</v>
      </c>
      <c r="F147" s="384">
        <f t="shared" si="3"/>
        <v>932</v>
      </c>
      <c r="G147" s="375">
        <v>932</v>
      </c>
      <c r="H147" s="376"/>
      <c r="I147" s="167">
        <f t="shared" si="2"/>
        <v>0.932</v>
      </c>
      <c r="J147" s="575"/>
      <c r="K147" s="576"/>
      <c r="L147" s="342"/>
      <c r="M147" s="342"/>
      <c r="N147" s="342"/>
      <c r="O147" s="342"/>
    </row>
    <row r="148" spans="1:15" s="356" customFormat="1" ht="25.5" customHeight="1">
      <c r="A148" s="386"/>
      <c r="B148" s="12"/>
      <c r="C148" s="29" t="s">
        <v>138</v>
      </c>
      <c r="D148" s="17" t="s">
        <v>139</v>
      </c>
      <c r="E148" s="383">
        <v>560000</v>
      </c>
      <c r="F148" s="384">
        <f t="shared" si="3"/>
        <v>512668.49</v>
      </c>
      <c r="G148" s="363">
        <v>512668.49</v>
      </c>
      <c r="H148" s="364"/>
      <c r="I148" s="167">
        <f t="shared" si="2"/>
        <v>0.9154794464285714</v>
      </c>
      <c r="J148" s="575"/>
      <c r="K148" s="583"/>
      <c r="L148" s="342"/>
      <c r="M148" s="342"/>
      <c r="N148" s="342"/>
      <c r="O148" s="342"/>
    </row>
    <row r="149" spans="1:15" s="356" customFormat="1" ht="25.5" customHeight="1">
      <c r="A149" s="386"/>
      <c r="B149" s="12"/>
      <c r="C149" s="29" t="s">
        <v>101</v>
      </c>
      <c r="D149" s="17" t="s">
        <v>102</v>
      </c>
      <c r="E149" s="383">
        <v>1000</v>
      </c>
      <c r="F149" s="384">
        <f t="shared" si="3"/>
        <v>151</v>
      </c>
      <c r="G149" s="375">
        <v>151</v>
      </c>
      <c r="H149" s="376"/>
      <c r="I149" s="167">
        <f t="shared" si="2"/>
        <v>0.151</v>
      </c>
      <c r="J149" s="575"/>
      <c r="K149" s="583"/>
      <c r="L149" s="342"/>
      <c r="M149" s="342"/>
      <c r="N149" s="342"/>
      <c r="O149" s="342"/>
    </row>
    <row r="150" spans="1:15" s="356" customFormat="1" ht="25.5" customHeight="1" thickBot="1">
      <c r="A150" s="1251"/>
      <c r="B150" s="435"/>
      <c r="C150" s="1273" t="s">
        <v>140</v>
      </c>
      <c r="D150" s="1265" t="s">
        <v>141</v>
      </c>
      <c r="E150" s="1274">
        <v>590</v>
      </c>
      <c r="F150" s="1275">
        <f t="shared" si="3"/>
        <v>960</v>
      </c>
      <c r="G150" s="1268">
        <v>960</v>
      </c>
      <c r="H150" s="1269"/>
      <c r="I150" s="1276">
        <f t="shared" si="2"/>
        <v>1.6271186440677967</v>
      </c>
      <c r="J150" s="575"/>
      <c r="K150" s="583"/>
      <c r="L150" s="342"/>
      <c r="M150" s="342"/>
      <c r="N150" s="342"/>
      <c r="O150" s="342"/>
    </row>
    <row r="151" spans="1:11" s="296" customFormat="1" ht="14.25" customHeight="1">
      <c r="A151" s="1270">
        <v>1</v>
      </c>
      <c r="B151" s="1260">
        <v>2</v>
      </c>
      <c r="C151" s="1260">
        <v>3</v>
      </c>
      <c r="D151" s="1260">
        <v>4</v>
      </c>
      <c r="E151" s="1271">
        <v>5</v>
      </c>
      <c r="F151" s="1272">
        <v>6</v>
      </c>
      <c r="G151" s="1262">
        <v>7</v>
      </c>
      <c r="H151" s="1272">
        <v>8</v>
      </c>
      <c r="I151" s="1264">
        <v>9</v>
      </c>
      <c r="J151" s="569"/>
      <c r="K151" s="569"/>
    </row>
    <row r="152" spans="1:15" s="356" customFormat="1" ht="14.25" customHeight="1">
      <c r="A152" s="386"/>
      <c r="B152" s="12">
        <v>75616</v>
      </c>
      <c r="C152" s="27"/>
      <c r="D152" s="357" t="s">
        <v>142</v>
      </c>
      <c r="E152" s="328"/>
      <c r="F152" s="388"/>
      <c r="G152" s="374"/>
      <c r="H152" s="371"/>
      <c r="I152" s="168"/>
      <c r="J152" s="575"/>
      <c r="K152" s="583"/>
      <c r="L152" s="342"/>
      <c r="M152" s="342"/>
      <c r="N152" s="342"/>
      <c r="O152" s="342"/>
    </row>
    <row r="153" spans="1:15" s="356" customFormat="1" ht="14.25" customHeight="1">
      <c r="A153" s="386"/>
      <c r="B153" s="12"/>
      <c r="C153" s="27"/>
      <c r="D153" s="357" t="s">
        <v>143</v>
      </c>
      <c r="E153" s="328"/>
      <c r="F153" s="388"/>
      <c r="G153" s="374"/>
      <c r="H153" s="371"/>
      <c r="I153" s="168"/>
      <c r="J153" s="575"/>
      <c r="K153" s="583"/>
      <c r="L153" s="342"/>
      <c r="M153" s="342"/>
      <c r="N153" s="342"/>
      <c r="O153" s="342"/>
    </row>
    <row r="154" spans="1:15" s="356" customFormat="1" ht="12.75">
      <c r="A154" s="386"/>
      <c r="B154" s="12"/>
      <c r="C154" s="28"/>
      <c r="D154" s="329" t="s">
        <v>144</v>
      </c>
      <c r="E154" s="301">
        <f>SUM(E155:E156,E157:E166)</f>
        <v>3959306</v>
      </c>
      <c r="F154" s="298">
        <f>SUM(F155:F156,F157:F166)</f>
        <v>4283601.24</v>
      </c>
      <c r="G154" s="298">
        <f>SUM(G155:G156,G157:G166)</f>
        <v>4283601.24</v>
      </c>
      <c r="H154" s="298">
        <f>SUM(H155:H156,H157:H166)</f>
        <v>0</v>
      </c>
      <c r="I154" s="167">
        <f aca="true" t="shared" si="4" ref="I154:I166">SUM(F154/E154)</f>
        <v>1.0819070917984113</v>
      </c>
      <c r="J154" s="575"/>
      <c r="K154" s="583"/>
      <c r="L154" s="342"/>
      <c r="M154" s="342"/>
      <c r="N154" s="342"/>
      <c r="O154" s="342"/>
    </row>
    <row r="155" spans="1:15" s="356" customFormat="1" ht="25.5" customHeight="1">
      <c r="A155" s="386"/>
      <c r="B155" s="12"/>
      <c r="C155" s="29" t="s">
        <v>126</v>
      </c>
      <c r="D155" s="17" t="s">
        <v>127</v>
      </c>
      <c r="E155" s="383">
        <v>2100000</v>
      </c>
      <c r="F155" s="384">
        <f aca="true" t="shared" si="5" ref="F155:F166">SUM(G155:H155)</f>
        <v>2088517.32</v>
      </c>
      <c r="G155" s="315">
        <v>2088517.32</v>
      </c>
      <c r="H155" s="362"/>
      <c r="I155" s="171">
        <f t="shared" si="4"/>
        <v>0.9945320571428572</v>
      </c>
      <c r="J155" s="575"/>
      <c r="K155" s="583"/>
      <c r="L155" s="342"/>
      <c r="M155" s="342"/>
      <c r="N155" s="342"/>
      <c r="O155" s="342"/>
    </row>
    <row r="156" spans="1:15" s="356" customFormat="1" ht="25.5" customHeight="1">
      <c r="A156" s="386"/>
      <c r="B156" s="12"/>
      <c r="C156" s="29" t="s">
        <v>128</v>
      </c>
      <c r="D156" s="17" t="s">
        <v>129</v>
      </c>
      <c r="E156" s="383">
        <v>226000</v>
      </c>
      <c r="F156" s="384">
        <f t="shared" si="5"/>
        <v>178783.32</v>
      </c>
      <c r="G156" s="375">
        <v>178783.32</v>
      </c>
      <c r="H156" s="376"/>
      <c r="I156" s="167">
        <f t="shared" si="4"/>
        <v>0.7910766371681416</v>
      </c>
      <c r="J156" s="575"/>
      <c r="K156" s="583"/>
      <c r="L156" s="342"/>
      <c r="M156" s="342"/>
      <c r="N156" s="342"/>
      <c r="O156" s="342"/>
    </row>
    <row r="157" spans="1:15" s="356" customFormat="1" ht="25.5" customHeight="1">
      <c r="A157" s="386"/>
      <c r="B157" s="12"/>
      <c r="C157" s="28" t="s">
        <v>130</v>
      </c>
      <c r="D157" s="14" t="s">
        <v>131</v>
      </c>
      <c r="E157" s="301">
        <v>700</v>
      </c>
      <c r="F157" s="360">
        <f t="shared" si="5"/>
        <v>555.96</v>
      </c>
      <c r="G157" s="265">
        <v>555.96</v>
      </c>
      <c r="H157" s="371"/>
      <c r="I157" s="167">
        <f t="shared" si="4"/>
        <v>0.7942285714285715</v>
      </c>
      <c r="J157" s="576"/>
      <c r="K157" s="576"/>
      <c r="L157" s="342"/>
      <c r="M157" s="342"/>
      <c r="N157" s="342"/>
      <c r="O157" s="342"/>
    </row>
    <row r="158" spans="1:15" s="356" customFormat="1" ht="25.5" customHeight="1">
      <c r="A158" s="386"/>
      <c r="B158" s="12"/>
      <c r="C158" s="29" t="s">
        <v>132</v>
      </c>
      <c r="D158" s="17" t="s">
        <v>133</v>
      </c>
      <c r="E158" s="383">
        <v>160000</v>
      </c>
      <c r="F158" s="384">
        <f t="shared" si="5"/>
        <v>89199.49</v>
      </c>
      <c r="G158" s="375">
        <v>89199.49</v>
      </c>
      <c r="H158" s="376"/>
      <c r="I158" s="167">
        <f t="shared" si="4"/>
        <v>0.5574968125</v>
      </c>
      <c r="J158" s="576"/>
      <c r="K158" s="576"/>
      <c r="L158" s="342"/>
      <c r="M158" s="342"/>
      <c r="N158" s="342"/>
      <c r="O158" s="342"/>
    </row>
    <row r="159" spans="1:15" s="356" customFormat="1" ht="25.5" customHeight="1">
      <c r="A159" s="386"/>
      <c r="B159" s="12"/>
      <c r="C159" s="29" t="s">
        <v>145</v>
      </c>
      <c r="D159" s="30" t="s">
        <v>146</v>
      </c>
      <c r="E159" s="383">
        <v>150000</v>
      </c>
      <c r="F159" s="384">
        <f t="shared" si="5"/>
        <v>82470.21</v>
      </c>
      <c r="G159" s="265">
        <v>82470.21</v>
      </c>
      <c r="H159" s="371"/>
      <c r="I159" s="167">
        <f t="shared" si="4"/>
        <v>0.5498014</v>
      </c>
      <c r="J159" s="576"/>
      <c r="K159" s="576"/>
      <c r="L159" s="342"/>
      <c r="M159" s="342"/>
      <c r="N159" s="342"/>
      <c r="O159" s="342"/>
    </row>
    <row r="160" spans="1:15" s="356" customFormat="1" ht="25.5" customHeight="1">
      <c r="A160" s="386"/>
      <c r="B160" s="12"/>
      <c r="C160" s="29" t="s">
        <v>147</v>
      </c>
      <c r="D160" s="17" t="s">
        <v>148</v>
      </c>
      <c r="E160" s="383">
        <v>67000</v>
      </c>
      <c r="F160" s="384">
        <f t="shared" si="5"/>
        <v>54223.64</v>
      </c>
      <c r="G160" s="375">
        <v>54223.64</v>
      </c>
      <c r="H160" s="376"/>
      <c r="I160" s="167">
        <f t="shared" si="4"/>
        <v>0.8093080597014926</v>
      </c>
      <c r="J160" s="575"/>
      <c r="K160" s="583"/>
      <c r="L160" s="342"/>
      <c r="M160" s="342"/>
      <c r="N160" s="342"/>
      <c r="O160" s="342"/>
    </row>
    <row r="161" spans="1:15" s="356" customFormat="1" ht="25.5" customHeight="1">
      <c r="A161" s="386"/>
      <c r="B161" s="12"/>
      <c r="C161" s="29" t="s">
        <v>149</v>
      </c>
      <c r="D161" s="30" t="s">
        <v>150</v>
      </c>
      <c r="E161" s="383">
        <v>193406</v>
      </c>
      <c r="F161" s="360">
        <f t="shared" si="5"/>
        <v>146296</v>
      </c>
      <c r="G161" s="265">
        <v>146296</v>
      </c>
      <c r="H161" s="371"/>
      <c r="I161" s="167">
        <f t="shared" si="4"/>
        <v>0.7564191390132674</v>
      </c>
      <c r="J161" s="576"/>
      <c r="K161" s="576"/>
      <c r="L161" s="342"/>
      <c r="M161" s="342"/>
      <c r="N161" s="342"/>
      <c r="O161" s="342"/>
    </row>
    <row r="162" spans="1:15" s="356" customFormat="1" ht="25.5" customHeight="1">
      <c r="A162" s="386"/>
      <c r="B162" s="12"/>
      <c r="C162" s="29" t="s">
        <v>134</v>
      </c>
      <c r="D162" s="17" t="s">
        <v>135</v>
      </c>
      <c r="E162" s="383">
        <v>1000000</v>
      </c>
      <c r="F162" s="384">
        <f t="shared" si="5"/>
        <v>1583078.15</v>
      </c>
      <c r="G162" s="375">
        <v>1583078.15</v>
      </c>
      <c r="H162" s="376"/>
      <c r="I162" s="167">
        <f t="shared" si="4"/>
        <v>1.58307815</v>
      </c>
      <c r="J162" s="576"/>
      <c r="K162" s="576"/>
      <c r="L162" s="342"/>
      <c r="M162" s="342"/>
      <c r="N162" s="342"/>
      <c r="O162" s="342"/>
    </row>
    <row r="163" spans="1:15" s="356" customFormat="1" ht="25.5" customHeight="1">
      <c r="A163" s="386"/>
      <c r="B163" s="12"/>
      <c r="C163" s="29" t="s">
        <v>151</v>
      </c>
      <c r="D163" s="17" t="s">
        <v>152</v>
      </c>
      <c r="E163" s="383">
        <v>6200</v>
      </c>
      <c r="F163" s="384">
        <f t="shared" si="5"/>
        <v>2368.46</v>
      </c>
      <c r="G163" s="265">
        <v>2368.46</v>
      </c>
      <c r="H163" s="371"/>
      <c r="I163" s="167">
        <f t="shared" si="4"/>
        <v>0.3820096774193548</v>
      </c>
      <c r="J163" s="576"/>
      <c r="K163" s="576"/>
      <c r="L163" s="342"/>
      <c r="M163" s="342"/>
      <c r="N163" s="342"/>
      <c r="O163" s="342"/>
    </row>
    <row r="164" spans="1:15" s="356" customFormat="1" ht="25.5" customHeight="1">
      <c r="A164" s="386"/>
      <c r="B164" s="12"/>
      <c r="C164" s="29" t="s">
        <v>136</v>
      </c>
      <c r="D164" s="17" t="s">
        <v>137</v>
      </c>
      <c r="E164" s="383">
        <v>12000</v>
      </c>
      <c r="F164" s="384">
        <f t="shared" si="5"/>
        <v>10063.87</v>
      </c>
      <c r="G164" s="375">
        <v>10063.87</v>
      </c>
      <c r="H164" s="376"/>
      <c r="I164" s="167">
        <f t="shared" si="4"/>
        <v>0.8386558333333334</v>
      </c>
      <c r="J164" s="576"/>
      <c r="K164" s="576"/>
      <c r="L164" s="342"/>
      <c r="M164" s="342"/>
      <c r="N164" s="342"/>
      <c r="O164" s="342"/>
    </row>
    <row r="165" spans="1:15" s="356" customFormat="1" ht="25.5" customHeight="1">
      <c r="A165" s="386"/>
      <c r="B165" s="12"/>
      <c r="C165" s="29" t="s">
        <v>138</v>
      </c>
      <c r="D165" s="17" t="s">
        <v>139</v>
      </c>
      <c r="E165" s="383">
        <v>42000</v>
      </c>
      <c r="F165" s="384">
        <f t="shared" si="5"/>
        <v>46661.82</v>
      </c>
      <c r="G165" s="265">
        <v>46661.82</v>
      </c>
      <c r="H165" s="371"/>
      <c r="I165" s="167">
        <f t="shared" si="4"/>
        <v>1.1109957142857143</v>
      </c>
      <c r="J165" s="576"/>
      <c r="K165" s="576"/>
      <c r="L165" s="342"/>
      <c r="M165" s="342"/>
      <c r="N165" s="342"/>
      <c r="O165" s="342"/>
    </row>
    <row r="166" spans="1:15" s="356" customFormat="1" ht="25.5" customHeight="1">
      <c r="A166" s="389"/>
      <c r="B166" s="41"/>
      <c r="C166" s="28" t="s">
        <v>101</v>
      </c>
      <c r="D166" s="17" t="s">
        <v>102</v>
      </c>
      <c r="E166" s="383">
        <v>2000</v>
      </c>
      <c r="F166" s="384">
        <f t="shared" si="5"/>
        <v>1383</v>
      </c>
      <c r="G166" s="375">
        <v>1383</v>
      </c>
      <c r="H166" s="376"/>
      <c r="I166" s="167">
        <f t="shared" si="4"/>
        <v>0.6915</v>
      </c>
      <c r="J166" s="576"/>
      <c r="K166" s="576"/>
      <c r="L166" s="342"/>
      <c r="M166" s="342"/>
      <c r="N166" s="342"/>
      <c r="O166" s="342"/>
    </row>
    <row r="167" spans="1:15" s="356" customFormat="1" ht="3" customHeight="1">
      <c r="A167" s="386"/>
      <c r="B167" s="12"/>
      <c r="C167" s="27"/>
      <c r="D167" s="357"/>
      <c r="E167" s="328"/>
      <c r="F167" s="388"/>
      <c r="G167" s="374"/>
      <c r="H167" s="371"/>
      <c r="I167" s="168"/>
      <c r="J167" s="576"/>
      <c r="K167" s="576"/>
      <c r="L167" s="342"/>
      <c r="M167" s="342"/>
      <c r="N167" s="342"/>
      <c r="O167" s="342"/>
    </row>
    <row r="168" spans="1:15" s="356" customFormat="1" ht="14.25" customHeight="1">
      <c r="A168" s="386"/>
      <c r="B168" s="12">
        <v>75618</v>
      </c>
      <c r="C168" s="27"/>
      <c r="D168" s="357" t="s">
        <v>153</v>
      </c>
      <c r="E168" s="328"/>
      <c r="F168" s="327"/>
      <c r="G168" s="265"/>
      <c r="H168" s="266"/>
      <c r="I168" s="168"/>
      <c r="J168" s="576"/>
      <c r="K168" s="576"/>
      <c r="L168" s="342"/>
      <c r="M168" s="342"/>
      <c r="N168" s="342"/>
      <c r="O168" s="342"/>
    </row>
    <row r="169" spans="1:15" s="356" customFormat="1" ht="14.25" customHeight="1">
      <c r="A169" s="386"/>
      <c r="B169" s="12"/>
      <c r="C169" s="28"/>
      <c r="D169" s="329" t="s">
        <v>154</v>
      </c>
      <c r="E169" s="301">
        <f>SUM(E170:E177)</f>
        <v>1050083</v>
      </c>
      <c r="F169" s="298">
        <f>SUM(F170:F177)</f>
        <v>958764.3099999999</v>
      </c>
      <c r="G169" s="360">
        <f>SUM(G170:G177)</f>
        <v>958764.3099999999</v>
      </c>
      <c r="H169" s="298">
        <f>SUM(H170:H177)</f>
        <v>0</v>
      </c>
      <c r="I169" s="167">
        <f aca="true" t="shared" si="6" ref="I169:I177">SUM(F169/E169)</f>
        <v>0.913036693289959</v>
      </c>
      <c r="J169" s="576"/>
      <c r="K169" s="576"/>
      <c r="L169" s="342"/>
      <c r="M169" s="342"/>
      <c r="N169" s="342"/>
      <c r="O169" s="342"/>
    </row>
    <row r="170" spans="1:15" s="356" customFormat="1" ht="25.5" customHeight="1">
      <c r="A170" s="386"/>
      <c r="B170" s="12"/>
      <c r="C170" s="29" t="s">
        <v>155</v>
      </c>
      <c r="D170" s="30" t="s">
        <v>156</v>
      </c>
      <c r="E170" s="383">
        <v>350000</v>
      </c>
      <c r="F170" s="521">
        <f aca="true" t="shared" si="7" ref="F170:F177">SUM(G170:H170)</f>
        <v>264133.92</v>
      </c>
      <c r="G170" s="375">
        <v>264133.92</v>
      </c>
      <c r="H170" s="376"/>
      <c r="I170" s="167">
        <f t="shared" si="6"/>
        <v>0.7546683428571428</v>
      </c>
      <c r="J170" s="576"/>
      <c r="K170" s="576"/>
      <c r="L170" s="342"/>
      <c r="M170" s="342"/>
      <c r="N170" s="342"/>
      <c r="O170" s="342"/>
    </row>
    <row r="171" spans="1:15" s="356" customFormat="1" ht="25.5" customHeight="1">
      <c r="A171" s="386"/>
      <c r="B171" s="12"/>
      <c r="C171" s="29" t="s">
        <v>157</v>
      </c>
      <c r="D171" s="30" t="s">
        <v>158</v>
      </c>
      <c r="E171" s="383">
        <v>1700</v>
      </c>
      <c r="F171" s="521">
        <f t="shared" si="7"/>
        <v>4703.57</v>
      </c>
      <c r="G171" s="265">
        <v>4703.57</v>
      </c>
      <c r="H171" s="371"/>
      <c r="I171" s="167">
        <f t="shared" si="6"/>
        <v>2.766805882352941</v>
      </c>
      <c r="J171" s="576"/>
      <c r="K171" s="576"/>
      <c r="L171" s="342"/>
      <c r="M171" s="342"/>
      <c r="N171" s="342"/>
      <c r="O171" s="342"/>
    </row>
    <row r="172" spans="1:15" s="356" customFormat="1" ht="25.5" customHeight="1">
      <c r="A172" s="386"/>
      <c r="B172" s="12"/>
      <c r="C172" s="29" t="s">
        <v>159</v>
      </c>
      <c r="D172" s="30" t="s">
        <v>160</v>
      </c>
      <c r="E172" s="383">
        <v>599567</v>
      </c>
      <c r="F172" s="521">
        <f t="shared" si="7"/>
        <v>623421.82</v>
      </c>
      <c r="G172" s="375">
        <v>623421.82</v>
      </c>
      <c r="H172" s="376"/>
      <c r="I172" s="167">
        <f t="shared" si="6"/>
        <v>1.03978674610177</v>
      </c>
      <c r="J172" s="576"/>
      <c r="K172" s="576"/>
      <c r="L172" s="342"/>
      <c r="M172" s="342"/>
      <c r="N172" s="342"/>
      <c r="O172" s="342"/>
    </row>
    <row r="173" spans="1:15" s="356" customFormat="1" ht="30" customHeight="1">
      <c r="A173" s="386"/>
      <c r="B173" s="12"/>
      <c r="C173" s="29" t="s">
        <v>161</v>
      </c>
      <c r="D173" s="17" t="s">
        <v>162</v>
      </c>
      <c r="E173" s="383">
        <v>25000</v>
      </c>
      <c r="F173" s="521">
        <f t="shared" si="7"/>
        <v>8126.32</v>
      </c>
      <c r="G173" s="375">
        <v>8126.32</v>
      </c>
      <c r="H173" s="376"/>
      <c r="I173" s="167">
        <f t="shared" si="6"/>
        <v>0.3250528</v>
      </c>
      <c r="J173" s="576"/>
      <c r="K173" s="576"/>
      <c r="L173" s="342"/>
      <c r="M173" s="342"/>
      <c r="N173" s="342"/>
      <c r="O173" s="342"/>
    </row>
    <row r="174" spans="1:15" s="356" customFormat="1" ht="25.5" customHeight="1">
      <c r="A174" s="386"/>
      <c r="B174" s="12"/>
      <c r="C174" s="29" t="s">
        <v>163</v>
      </c>
      <c r="D174" s="30" t="s">
        <v>164</v>
      </c>
      <c r="E174" s="383">
        <v>1300</v>
      </c>
      <c r="F174" s="521">
        <f t="shared" si="7"/>
        <v>1285</v>
      </c>
      <c r="G174" s="265">
        <v>1285</v>
      </c>
      <c r="H174" s="371"/>
      <c r="I174" s="167">
        <f t="shared" si="6"/>
        <v>0.9884615384615385</v>
      </c>
      <c r="J174" s="576"/>
      <c r="K174" s="576"/>
      <c r="L174" s="342"/>
      <c r="M174" s="342"/>
      <c r="N174" s="342"/>
      <c r="O174" s="342"/>
    </row>
    <row r="175" spans="1:11" s="356" customFormat="1" ht="25.5" customHeight="1">
      <c r="A175" s="386"/>
      <c r="B175" s="12"/>
      <c r="C175" s="29" t="s">
        <v>136</v>
      </c>
      <c r="D175" s="17" t="s">
        <v>137</v>
      </c>
      <c r="E175" s="383">
        <v>72000</v>
      </c>
      <c r="F175" s="521">
        <f t="shared" si="7"/>
        <v>57037.28</v>
      </c>
      <c r="G175" s="375">
        <v>57037.28</v>
      </c>
      <c r="H175" s="376"/>
      <c r="I175" s="167">
        <f t="shared" si="6"/>
        <v>0.7921844444444445</v>
      </c>
      <c r="J175" s="574"/>
      <c r="K175" s="574"/>
    </row>
    <row r="176" spans="1:11" s="356" customFormat="1" ht="25.5" customHeight="1">
      <c r="A176" s="386"/>
      <c r="B176" s="12"/>
      <c r="C176" s="16" t="s">
        <v>99</v>
      </c>
      <c r="D176" s="17" t="s">
        <v>100</v>
      </c>
      <c r="E176" s="301">
        <v>16</v>
      </c>
      <c r="F176" s="521">
        <f t="shared" si="7"/>
        <v>56.4</v>
      </c>
      <c r="G176" s="375">
        <v>56.4</v>
      </c>
      <c r="H176" s="376"/>
      <c r="I176" s="167">
        <f t="shared" si="6"/>
        <v>3.525</v>
      </c>
      <c r="J176" s="574"/>
      <c r="K176" s="574"/>
    </row>
    <row r="177" spans="1:11" s="356" customFormat="1" ht="25.5" customHeight="1">
      <c r="A177" s="386"/>
      <c r="B177" s="13"/>
      <c r="C177" s="28" t="s">
        <v>101</v>
      </c>
      <c r="D177" s="17" t="s">
        <v>102</v>
      </c>
      <c r="E177" s="301">
        <v>500</v>
      </c>
      <c r="F177" s="521">
        <f t="shared" si="7"/>
        <v>0</v>
      </c>
      <c r="G177" s="375">
        <v>0</v>
      </c>
      <c r="H177" s="376"/>
      <c r="I177" s="167">
        <f t="shared" si="6"/>
        <v>0</v>
      </c>
      <c r="J177" s="574"/>
      <c r="K177" s="574"/>
    </row>
    <row r="178" spans="1:11" s="356" customFormat="1" ht="14.25" customHeight="1">
      <c r="A178" s="386"/>
      <c r="B178" s="12">
        <v>75621</v>
      </c>
      <c r="C178" s="12"/>
      <c r="D178" s="357" t="s">
        <v>165</v>
      </c>
      <c r="E178" s="286"/>
      <c r="F178" s="371"/>
      <c r="G178" s="374"/>
      <c r="H178" s="371"/>
      <c r="I178" s="168"/>
      <c r="J178" s="574"/>
      <c r="K178" s="574"/>
    </row>
    <row r="179" spans="1:11" s="356" customFormat="1" ht="14.25" customHeight="1">
      <c r="A179" s="386"/>
      <c r="B179" s="12"/>
      <c r="C179" s="13"/>
      <c r="D179" s="329" t="s">
        <v>166</v>
      </c>
      <c r="E179" s="301">
        <f>SUM(E180:E181)</f>
        <v>21147823</v>
      </c>
      <c r="F179" s="298">
        <f>SUM(F180:F181)</f>
        <v>16267528.47</v>
      </c>
      <c r="G179" s="360">
        <f>SUM(G180:G181)</f>
        <v>16267528.47</v>
      </c>
      <c r="H179" s="298">
        <f>SUM(H180:H181)</f>
        <v>0</v>
      </c>
      <c r="I179" s="167">
        <f>SUM(F179/E179)</f>
        <v>0.7692294601671293</v>
      </c>
      <c r="J179" s="574"/>
      <c r="K179" s="574"/>
    </row>
    <row r="180" spans="1:11" s="356" customFormat="1" ht="25.5" customHeight="1">
      <c r="A180" s="386"/>
      <c r="B180" s="12"/>
      <c r="C180" s="15" t="s">
        <v>167</v>
      </c>
      <c r="D180" s="14" t="s">
        <v>168</v>
      </c>
      <c r="E180" s="529">
        <v>20000000</v>
      </c>
      <c r="F180" s="559">
        <f>SUM(G180:H180)</f>
        <v>15391265</v>
      </c>
      <c r="G180" s="375">
        <v>15391265</v>
      </c>
      <c r="H180" s="376"/>
      <c r="I180" s="167">
        <f>SUM(F180/E180)</f>
        <v>0.76956325</v>
      </c>
      <c r="J180" s="574"/>
      <c r="K180" s="574"/>
    </row>
    <row r="181" spans="1:11" s="356" customFormat="1" ht="25.5" customHeight="1" thickBot="1">
      <c r="A181" s="1251"/>
      <c r="B181" s="435"/>
      <c r="C181" s="1252" t="s">
        <v>169</v>
      </c>
      <c r="D181" s="1253" t="s">
        <v>170</v>
      </c>
      <c r="E181" s="1277">
        <v>1147823</v>
      </c>
      <c r="F181" s="1278">
        <f>SUM(G181:H181)</f>
        <v>876263.47</v>
      </c>
      <c r="G181" s="1256">
        <v>876263.47</v>
      </c>
      <c r="H181" s="1257"/>
      <c r="I181" s="1258">
        <f>SUM(F181/E181)</f>
        <v>0.7634134095587909</v>
      </c>
      <c r="J181" s="574"/>
      <c r="K181" s="574"/>
    </row>
    <row r="182" spans="1:11" s="296" customFormat="1" ht="14.25" customHeight="1">
      <c r="A182" s="1270">
        <v>1</v>
      </c>
      <c r="B182" s="1260">
        <v>2</v>
      </c>
      <c r="C182" s="1260">
        <v>3</v>
      </c>
      <c r="D182" s="1260">
        <v>4</v>
      </c>
      <c r="E182" s="1271">
        <v>5</v>
      </c>
      <c r="F182" s="1272">
        <v>6</v>
      </c>
      <c r="G182" s="1262">
        <v>7</v>
      </c>
      <c r="H182" s="1272">
        <v>8</v>
      </c>
      <c r="I182" s="1264">
        <v>9</v>
      </c>
      <c r="J182" s="569"/>
      <c r="K182" s="569"/>
    </row>
    <row r="183" spans="1:11" s="356" customFormat="1" ht="14.25" customHeight="1">
      <c r="A183" s="386"/>
      <c r="B183" s="387"/>
      <c r="C183" s="12"/>
      <c r="D183" s="357"/>
      <c r="E183" s="328"/>
      <c r="F183" s="327"/>
      <c r="G183" s="265"/>
      <c r="H183" s="266"/>
      <c r="I183" s="168"/>
      <c r="J183" s="574"/>
      <c r="K183" s="574"/>
    </row>
    <row r="184" spans="1:11" s="356" customFormat="1" ht="14.25" customHeight="1">
      <c r="A184" s="386">
        <v>758</v>
      </c>
      <c r="B184" s="355"/>
      <c r="C184" s="13"/>
      <c r="D184" s="329" t="s">
        <v>75</v>
      </c>
      <c r="E184" s="301">
        <f>SUM(E186+E189+E196)+E192</f>
        <v>17431284</v>
      </c>
      <c r="F184" s="298">
        <f>SUM(F186+F189+F196)+F192</f>
        <v>14895793.12</v>
      </c>
      <c r="G184" s="298">
        <f>SUM(G186+G189+G196)+G192</f>
        <v>14895793.12</v>
      </c>
      <c r="H184" s="298">
        <f>SUM(H186+H189+H196)+H192</f>
        <v>0</v>
      </c>
      <c r="I184" s="167">
        <f>SUM(F184/E184)</f>
        <v>0.8545436538123066</v>
      </c>
      <c r="J184" s="574"/>
      <c r="K184" s="574"/>
    </row>
    <row r="185" spans="1:11" s="356" customFormat="1" ht="14.25" customHeight="1">
      <c r="A185" s="386"/>
      <c r="B185" s="12"/>
      <c r="C185" s="12"/>
      <c r="D185" s="357"/>
      <c r="E185" s="496"/>
      <c r="F185" s="388"/>
      <c r="G185" s="370"/>
      <c r="H185" s="388"/>
      <c r="I185" s="168"/>
      <c r="J185" s="574"/>
      <c r="K185" s="574"/>
    </row>
    <row r="186" spans="1:11" s="356" customFormat="1" ht="14.25" customHeight="1">
      <c r="A186" s="386"/>
      <c r="B186" s="12">
        <v>75801</v>
      </c>
      <c r="C186" s="13"/>
      <c r="D186" s="329" t="s">
        <v>171</v>
      </c>
      <c r="E186" s="301">
        <f>SUM(E187)</f>
        <v>15861413</v>
      </c>
      <c r="F186" s="298">
        <f>SUM(F187)</f>
        <v>13431665</v>
      </c>
      <c r="G186" s="360">
        <f>SUM(G187)</f>
        <v>13431665</v>
      </c>
      <c r="H186" s="298">
        <f>SUM(H187)</f>
        <v>0</v>
      </c>
      <c r="I186" s="167">
        <f>SUM(F186/E186)</f>
        <v>0.8468138998713418</v>
      </c>
      <c r="J186" s="574"/>
      <c r="K186" s="574"/>
    </row>
    <row r="187" spans="1:11" s="356" customFormat="1" ht="24.75" customHeight="1">
      <c r="A187" s="386"/>
      <c r="B187" s="13"/>
      <c r="C187" s="19" t="s">
        <v>172</v>
      </c>
      <c r="D187" s="17" t="s">
        <v>173</v>
      </c>
      <c r="E187" s="383">
        <v>15861413</v>
      </c>
      <c r="F187" s="521">
        <f>SUM(G187:H187)</f>
        <v>13431665</v>
      </c>
      <c r="G187" s="375">
        <v>13431665</v>
      </c>
      <c r="H187" s="376"/>
      <c r="I187" s="167">
        <f>SUM(F187/E187)</f>
        <v>0.8468138998713418</v>
      </c>
      <c r="J187" s="574"/>
      <c r="K187" s="574"/>
    </row>
    <row r="188" spans="1:11" s="356" customFormat="1" ht="14.25" customHeight="1">
      <c r="A188" s="386"/>
      <c r="B188" s="12"/>
      <c r="C188" s="12"/>
      <c r="D188" s="357"/>
      <c r="E188" s="328"/>
      <c r="F188" s="327"/>
      <c r="G188" s="265"/>
      <c r="H188" s="266"/>
      <c r="I188" s="168"/>
      <c r="J188" s="574"/>
      <c r="K188" s="574"/>
    </row>
    <row r="189" spans="1:11" s="356" customFormat="1" ht="11.25" customHeight="1">
      <c r="A189" s="386"/>
      <c r="B189" s="12">
        <v>75814</v>
      </c>
      <c r="C189" s="13"/>
      <c r="D189" s="329" t="s">
        <v>174</v>
      </c>
      <c r="E189" s="301">
        <f>SUM(E190)</f>
        <v>600000</v>
      </c>
      <c r="F189" s="298">
        <f>SUM(F190)</f>
        <v>734089.12</v>
      </c>
      <c r="G189" s="360">
        <f>SUM(G190)</f>
        <v>734089.12</v>
      </c>
      <c r="H189" s="298">
        <f>SUM(H190)</f>
        <v>0</v>
      </c>
      <c r="I189" s="167">
        <f>SUM(F189/E189)</f>
        <v>1.2234818666666667</v>
      </c>
      <c r="J189" s="574"/>
      <c r="K189" s="574"/>
    </row>
    <row r="190" spans="1:11" s="356" customFormat="1" ht="25.5" customHeight="1">
      <c r="A190" s="386"/>
      <c r="B190" s="13"/>
      <c r="C190" s="31" t="s">
        <v>99</v>
      </c>
      <c r="D190" s="14" t="s">
        <v>100</v>
      </c>
      <c r="E190" s="301">
        <v>600000</v>
      </c>
      <c r="F190" s="298">
        <f>SUM(G190:H190)</f>
        <v>734089.12</v>
      </c>
      <c r="G190" s="360">
        <v>734089.12</v>
      </c>
      <c r="H190" s="359"/>
      <c r="I190" s="167">
        <f>SUM(F190/E190)</f>
        <v>1.2234818666666667</v>
      </c>
      <c r="J190" s="574"/>
      <c r="K190" s="574"/>
    </row>
    <row r="191" spans="1:11" s="356" customFormat="1" ht="14.25" customHeight="1">
      <c r="A191" s="386"/>
      <c r="B191" s="12"/>
      <c r="C191" s="12"/>
      <c r="D191" s="357"/>
      <c r="E191" s="328"/>
      <c r="F191" s="388"/>
      <c r="G191" s="370"/>
      <c r="H191" s="388"/>
      <c r="I191" s="168"/>
      <c r="J191" s="574"/>
      <c r="K191" s="574"/>
    </row>
    <row r="192" spans="1:11" s="356" customFormat="1" ht="14.25" customHeight="1">
      <c r="A192" s="386"/>
      <c r="B192" s="12">
        <v>75820</v>
      </c>
      <c r="C192" s="13"/>
      <c r="D192" s="329" t="s">
        <v>390</v>
      </c>
      <c r="E192" s="301">
        <f>SUM(E193:E194)</f>
        <v>10534</v>
      </c>
      <c r="F192" s="298">
        <f>SUM(F193:F194)</f>
        <v>10534</v>
      </c>
      <c r="G192" s="298">
        <f>SUM(G193:G194)</f>
        <v>10534</v>
      </c>
      <c r="H192" s="298">
        <f>SUM(H193:H194)</f>
        <v>0</v>
      </c>
      <c r="I192" s="167">
        <f>SUM(F192/E192)</f>
        <v>1</v>
      </c>
      <c r="J192" s="574"/>
      <c r="K192" s="574"/>
    </row>
    <row r="193" spans="1:11" s="294" customFormat="1" ht="25.5" customHeight="1">
      <c r="A193" s="302"/>
      <c r="B193" s="372"/>
      <c r="C193" s="257" t="s">
        <v>345</v>
      </c>
      <c r="D193" s="143" t="s">
        <v>347</v>
      </c>
      <c r="E193" s="373">
        <v>10077</v>
      </c>
      <c r="F193" s="396">
        <f>SUM(G193:H193)</f>
        <v>10076.8</v>
      </c>
      <c r="G193" s="397">
        <v>10076.8</v>
      </c>
      <c r="H193" s="398"/>
      <c r="I193" s="167">
        <f>SUM(F193/E193)</f>
        <v>0.9999801528232608</v>
      </c>
      <c r="J193" s="568"/>
      <c r="K193" s="568"/>
    </row>
    <row r="194" spans="1:11" s="356" customFormat="1" ht="25.5" customHeight="1">
      <c r="A194" s="386"/>
      <c r="B194" s="13"/>
      <c r="C194" s="144" t="s">
        <v>99</v>
      </c>
      <c r="D194" s="17" t="s">
        <v>100</v>
      </c>
      <c r="E194" s="301">
        <v>457</v>
      </c>
      <c r="F194" s="298">
        <f>SUM(G194:H194)</f>
        <v>457.2</v>
      </c>
      <c r="G194" s="375">
        <v>457.2</v>
      </c>
      <c r="H194" s="376"/>
      <c r="I194" s="171">
        <f>SUM(F194/E194)</f>
        <v>1.000437636761488</v>
      </c>
      <c r="J194" s="574"/>
      <c r="K194" s="574"/>
    </row>
    <row r="195" spans="1:11" s="356" customFormat="1" ht="14.25" customHeight="1">
      <c r="A195" s="386"/>
      <c r="B195" s="12"/>
      <c r="C195" s="12"/>
      <c r="D195" s="357"/>
      <c r="E195" s="328"/>
      <c r="F195" s="388"/>
      <c r="G195" s="370"/>
      <c r="H195" s="388"/>
      <c r="I195" s="168"/>
      <c r="J195" s="574"/>
      <c r="K195" s="574"/>
    </row>
    <row r="196" spans="1:11" s="356" customFormat="1" ht="14.25" customHeight="1">
      <c r="A196" s="386"/>
      <c r="B196" s="12">
        <v>75831</v>
      </c>
      <c r="C196" s="13"/>
      <c r="D196" s="329" t="s">
        <v>175</v>
      </c>
      <c r="E196" s="301">
        <f>SUM(E197)</f>
        <v>959337</v>
      </c>
      <c r="F196" s="298">
        <f>SUM(F197)</f>
        <v>719505</v>
      </c>
      <c r="G196" s="360">
        <f>SUM(G197)</f>
        <v>719505</v>
      </c>
      <c r="H196" s="298">
        <f>SUM(H197)</f>
        <v>0</v>
      </c>
      <c r="I196" s="167">
        <f>SUM(F196/E196)</f>
        <v>0.750002345369771</v>
      </c>
      <c r="J196" s="574"/>
      <c r="K196" s="574"/>
    </row>
    <row r="197" spans="1:11" s="356" customFormat="1" ht="25.5" customHeight="1" thickBot="1">
      <c r="A197" s="391"/>
      <c r="B197" s="378"/>
      <c r="C197" s="32" t="s">
        <v>172</v>
      </c>
      <c r="D197" s="26" t="s">
        <v>173</v>
      </c>
      <c r="E197" s="524">
        <v>959337</v>
      </c>
      <c r="F197" s="550">
        <f>SUM(G197:H197)</f>
        <v>719505</v>
      </c>
      <c r="G197" s="557">
        <v>719505</v>
      </c>
      <c r="H197" s="380"/>
      <c r="I197" s="173">
        <f>SUM(F197/E197)</f>
        <v>0.750002345369771</v>
      </c>
      <c r="J197" s="574"/>
      <c r="K197" s="574"/>
    </row>
    <row r="198" spans="1:11" s="356" customFormat="1" ht="14.25" customHeight="1" thickTop="1">
      <c r="A198" s="386"/>
      <c r="B198" s="12"/>
      <c r="C198" s="33"/>
      <c r="D198" s="34"/>
      <c r="E198" s="328"/>
      <c r="F198" s="388"/>
      <c r="G198" s="374"/>
      <c r="H198" s="371"/>
      <c r="I198" s="168"/>
      <c r="J198" s="574"/>
      <c r="K198" s="574"/>
    </row>
    <row r="199" spans="1:11" s="356" customFormat="1" ht="14.25" customHeight="1">
      <c r="A199" s="386">
        <v>801</v>
      </c>
      <c r="B199" s="355"/>
      <c r="C199" s="13"/>
      <c r="D199" s="329" t="s">
        <v>76</v>
      </c>
      <c r="E199" s="301">
        <f>SUM(E201+E209+E214+E223)+E220</f>
        <v>723197</v>
      </c>
      <c r="F199" s="298">
        <f>SUM(F201+F209+F214+F223)+F220</f>
        <v>616865.16</v>
      </c>
      <c r="G199" s="298">
        <f>SUM(G201+G209+G214+G223)+G220</f>
        <v>211331.15000000002</v>
      </c>
      <c r="H199" s="298">
        <f>SUM(H201+H209+H214+H223)+H220</f>
        <v>405534.01</v>
      </c>
      <c r="I199" s="167">
        <f>SUM(F199/E199)</f>
        <v>0.8529697440669693</v>
      </c>
      <c r="J199" s="574"/>
      <c r="K199" s="574"/>
    </row>
    <row r="200" spans="1:11" s="356" customFormat="1" ht="14.25" customHeight="1">
      <c r="A200" s="386"/>
      <c r="B200" s="387"/>
      <c r="C200" s="12"/>
      <c r="D200" s="357"/>
      <c r="E200" s="328"/>
      <c r="F200" s="388"/>
      <c r="G200" s="370"/>
      <c r="H200" s="388"/>
      <c r="I200" s="168"/>
      <c r="J200" s="574"/>
      <c r="K200" s="574"/>
    </row>
    <row r="201" spans="1:11" s="356" customFormat="1" ht="14.25" customHeight="1">
      <c r="A201" s="386"/>
      <c r="B201" s="12">
        <v>80101</v>
      </c>
      <c r="C201" s="13"/>
      <c r="D201" s="329" t="s">
        <v>176</v>
      </c>
      <c r="E201" s="301">
        <f>SUM(E202:E206)+E207</f>
        <v>303661</v>
      </c>
      <c r="F201" s="298">
        <f>SUM(F202:F206)+F207</f>
        <v>302612.67000000004</v>
      </c>
      <c r="G201" s="298">
        <f>SUM(G202:G206)+G207</f>
        <v>118658.94</v>
      </c>
      <c r="H201" s="298">
        <f>SUM(H202:H206)+H207</f>
        <v>183953.73</v>
      </c>
      <c r="I201" s="167">
        <f aca="true" t="shared" si="8" ref="I201:I206">SUM(F201/E201)</f>
        <v>0.9965476962797332</v>
      </c>
      <c r="J201" s="574"/>
      <c r="K201" s="574"/>
    </row>
    <row r="202" spans="1:11" s="294" customFormat="1" ht="25.5">
      <c r="A202" s="302"/>
      <c r="B202" s="372"/>
      <c r="C202" s="158">
        <v>2030</v>
      </c>
      <c r="D202" s="14" t="s">
        <v>181</v>
      </c>
      <c r="E202" s="301">
        <v>85540</v>
      </c>
      <c r="F202" s="558">
        <f aca="true" t="shared" si="9" ref="F202:F207">SUM(G202:H202)</f>
        <v>85540</v>
      </c>
      <c r="G202" s="558">
        <v>85540</v>
      </c>
      <c r="H202" s="560"/>
      <c r="I202" s="171">
        <f t="shared" si="8"/>
        <v>1</v>
      </c>
      <c r="J202" s="568"/>
      <c r="K202" s="568"/>
    </row>
    <row r="203" spans="1:11" s="294" customFormat="1" ht="25.5">
      <c r="A203" s="302"/>
      <c r="B203" s="372"/>
      <c r="C203" s="158">
        <v>2440</v>
      </c>
      <c r="D203" s="14" t="s">
        <v>194</v>
      </c>
      <c r="E203" s="301">
        <v>18000</v>
      </c>
      <c r="F203" s="558">
        <f t="shared" si="9"/>
        <v>18000</v>
      </c>
      <c r="G203" s="558">
        <v>18000</v>
      </c>
      <c r="H203" s="560"/>
      <c r="I203" s="171">
        <f t="shared" si="8"/>
        <v>1</v>
      </c>
      <c r="J203" s="568"/>
      <c r="K203" s="568"/>
    </row>
    <row r="204" spans="1:11" s="294" customFormat="1" ht="38.25">
      <c r="A204" s="302"/>
      <c r="B204" s="372"/>
      <c r="C204" s="158">
        <v>2460</v>
      </c>
      <c r="D204" s="14" t="s">
        <v>385</v>
      </c>
      <c r="E204" s="301">
        <v>4574</v>
      </c>
      <c r="F204" s="558">
        <f t="shared" si="9"/>
        <v>4572.14</v>
      </c>
      <c r="G204" s="558">
        <v>4572.14</v>
      </c>
      <c r="H204" s="560"/>
      <c r="I204" s="171">
        <f t="shared" si="8"/>
        <v>0.9995933537385222</v>
      </c>
      <c r="J204" s="568"/>
      <c r="K204" s="568"/>
    </row>
    <row r="205" spans="1:11" s="294" customFormat="1" ht="38.25">
      <c r="A205" s="302"/>
      <c r="B205" s="372"/>
      <c r="C205" s="158">
        <v>2705</v>
      </c>
      <c r="D205" s="14" t="s">
        <v>109</v>
      </c>
      <c r="E205" s="301">
        <v>1672</v>
      </c>
      <c r="F205" s="558">
        <f t="shared" si="9"/>
        <v>1672</v>
      </c>
      <c r="G205" s="558">
        <v>1672</v>
      </c>
      <c r="H205" s="560"/>
      <c r="I205" s="171">
        <f t="shared" si="8"/>
        <v>1</v>
      </c>
      <c r="J205" s="568"/>
      <c r="K205" s="568"/>
    </row>
    <row r="206" spans="1:11" s="294" customFormat="1" ht="38.25">
      <c r="A206" s="322"/>
      <c r="B206" s="372"/>
      <c r="C206" s="158">
        <v>2708</v>
      </c>
      <c r="D206" s="14" t="s">
        <v>109</v>
      </c>
      <c r="E206" s="383">
        <v>8875</v>
      </c>
      <c r="F206" s="521">
        <f t="shared" si="9"/>
        <v>8874.8</v>
      </c>
      <c r="G206" s="521">
        <v>8874.8</v>
      </c>
      <c r="H206" s="521"/>
      <c r="I206" s="171">
        <f t="shared" si="8"/>
        <v>0.9999774647887323</v>
      </c>
      <c r="J206" s="568"/>
      <c r="K206" s="568"/>
    </row>
    <row r="207" spans="1:11" s="356" customFormat="1" ht="42" customHeight="1">
      <c r="A207" s="389"/>
      <c r="B207" s="13"/>
      <c r="C207" s="176">
        <v>6260</v>
      </c>
      <c r="D207" s="14" t="s">
        <v>88</v>
      </c>
      <c r="E207" s="301">
        <v>185000</v>
      </c>
      <c r="F207" s="298">
        <f t="shared" si="9"/>
        <v>183953.73</v>
      </c>
      <c r="G207" s="363"/>
      <c r="H207" s="390">
        <v>183953.73</v>
      </c>
      <c r="I207" s="167">
        <f>SUM(F207/E207)</f>
        <v>0.9943444864864865</v>
      </c>
      <c r="J207" s="574"/>
      <c r="K207" s="574"/>
    </row>
    <row r="208" spans="1:11" s="356" customFormat="1" ht="14.25" customHeight="1">
      <c r="A208" s="386"/>
      <c r="B208" s="387"/>
      <c r="C208" s="177"/>
      <c r="D208" s="357"/>
      <c r="E208" s="328"/>
      <c r="F208" s="327"/>
      <c r="G208" s="265"/>
      <c r="H208" s="266"/>
      <c r="I208" s="168"/>
      <c r="J208" s="574"/>
      <c r="K208" s="574"/>
    </row>
    <row r="209" spans="1:11" s="356" customFormat="1" ht="14.25" customHeight="1">
      <c r="A209" s="386"/>
      <c r="B209" s="12">
        <v>80104</v>
      </c>
      <c r="C209" s="176"/>
      <c r="D209" s="329" t="s">
        <v>177</v>
      </c>
      <c r="E209" s="301">
        <f>SUM(E210:E211)</f>
        <v>192189</v>
      </c>
      <c r="F209" s="301">
        <f>SUM(F210:F211)</f>
        <v>191580.6</v>
      </c>
      <c r="G209" s="301">
        <f>SUM(G210:G211)</f>
        <v>0</v>
      </c>
      <c r="H209" s="301">
        <f>SUM(H210:H211)</f>
        <v>191580.6</v>
      </c>
      <c r="I209" s="167">
        <f>SUM(F209/E209)</f>
        <v>0.9968343661708007</v>
      </c>
      <c r="J209" s="574"/>
      <c r="K209" s="574"/>
    </row>
    <row r="210" spans="1:11" s="356" customFormat="1" ht="27" customHeight="1">
      <c r="A210" s="389"/>
      <c r="B210" s="12"/>
      <c r="C210" s="178" t="s">
        <v>351</v>
      </c>
      <c r="D210" s="145" t="s">
        <v>350</v>
      </c>
      <c r="E210" s="383">
        <v>608</v>
      </c>
      <c r="F210" s="521">
        <f>SUM(G210:H210)</f>
        <v>0</v>
      </c>
      <c r="G210" s="375">
        <v>0</v>
      </c>
      <c r="H210" s="376"/>
      <c r="I210" s="167">
        <f>SUM(F210/E210)</f>
        <v>0</v>
      </c>
      <c r="J210" s="574"/>
      <c r="K210" s="574"/>
    </row>
    <row r="211" spans="1:11" s="356" customFormat="1" ht="39" thickBot="1">
      <c r="A211" s="1279"/>
      <c r="B211" s="1280"/>
      <c r="C211" s="1281" t="s">
        <v>178</v>
      </c>
      <c r="D211" s="1265" t="s">
        <v>88</v>
      </c>
      <c r="E211" s="1274">
        <v>191581</v>
      </c>
      <c r="F211" s="1282">
        <f>SUM(G211:H211)</f>
        <v>191580.6</v>
      </c>
      <c r="G211" s="1256"/>
      <c r="H211" s="1283">
        <v>191580.6</v>
      </c>
      <c r="I211" s="1276">
        <f>SUM(F211/E211)</f>
        <v>0.9999979121102823</v>
      </c>
      <c r="J211" s="574"/>
      <c r="K211" s="574"/>
    </row>
    <row r="212" spans="1:11" s="296" customFormat="1" ht="14.25" customHeight="1">
      <c r="A212" s="1270">
        <v>1</v>
      </c>
      <c r="B212" s="1260">
        <v>2</v>
      </c>
      <c r="C212" s="1271">
        <v>3</v>
      </c>
      <c r="D212" s="1260">
        <v>4</v>
      </c>
      <c r="E212" s="1271">
        <v>5</v>
      </c>
      <c r="F212" s="1272">
        <v>6</v>
      </c>
      <c r="G212" s="1262">
        <v>7</v>
      </c>
      <c r="H212" s="1272">
        <v>8</v>
      </c>
      <c r="I212" s="1264">
        <v>9</v>
      </c>
      <c r="J212" s="569"/>
      <c r="K212" s="569"/>
    </row>
    <row r="213" spans="1:11" s="356" customFormat="1" ht="14.25" customHeight="1">
      <c r="A213" s="389"/>
      <c r="B213" s="40"/>
      <c r="C213" s="177"/>
      <c r="D213" s="357"/>
      <c r="E213" s="328"/>
      <c r="F213" s="327"/>
      <c r="G213" s="265"/>
      <c r="H213" s="266"/>
      <c r="I213" s="168"/>
      <c r="J213" s="574"/>
      <c r="K213" s="574"/>
    </row>
    <row r="214" spans="1:11" s="356" customFormat="1" ht="14.25" customHeight="1">
      <c r="A214" s="386"/>
      <c r="B214" s="12">
        <v>80110</v>
      </c>
      <c r="C214" s="176"/>
      <c r="D214" s="329" t="s">
        <v>179</v>
      </c>
      <c r="E214" s="301">
        <f>SUM(E215:E218)</f>
        <v>145069</v>
      </c>
      <c r="F214" s="298">
        <f>SUM(F215:F218)</f>
        <v>39785.75</v>
      </c>
      <c r="G214" s="298">
        <f>SUM(G215:G218)</f>
        <v>9786.07</v>
      </c>
      <c r="H214" s="298">
        <f>SUM(H215:H218)</f>
        <v>29999.68</v>
      </c>
      <c r="I214" s="167">
        <f>SUM(F214/E214)</f>
        <v>0.27425397569432475</v>
      </c>
      <c r="J214" s="574"/>
      <c r="K214" s="574"/>
    </row>
    <row r="215" spans="1:11" s="356" customFormat="1" ht="25.5">
      <c r="A215" s="389"/>
      <c r="B215" s="12"/>
      <c r="C215" s="178" t="s">
        <v>196</v>
      </c>
      <c r="D215" s="14" t="s">
        <v>194</v>
      </c>
      <c r="E215" s="301">
        <v>7500</v>
      </c>
      <c r="F215" s="298">
        <f>G215+H215</f>
        <v>7500</v>
      </c>
      <c r="G215" s="363">
        <v>7500</v>
      </c>
      <c r="H215" s="364"/>
      <c r="I215" s="167">
        <f>SUM(F215/E215)</f>
        <v>1</v>
      </c>
      <c r="J215" s="574"/>
      <c r="K215" s="574"/>
    </row>
    <row r="216" spans="1:11" s="356" customFormat="1" ht="38.25">
      <c r="A216" s="389"/>
      <c r="B216" s="12"/>
      <c r="C216" s="178" t="s">
        <v>354</v>
      </c>
      <c r="D216" s="14" t="s">
        <v>385</v>
      </c>
      <c r="E216" s="301">
        <v>2287</v>
      </c>
      <c r="F216" s="298">
        <f>SUM(G216:H216)</f>
        <v>2286.07</v>
      </c>
      <c r="G216" s="363">
        <v>2286.07</v>
      </c>
      <c r="H216" s="390"/>
      <c r="I216" s="167">
        <f>SUM(F216/E216)</f>
        <v>0.9995933537385222</v>
      </c>
      <c r="J216" s="574"/>
      <c r="K216" s="574"/>
    </row>
    <row r="217" spans="1:11" s="356" customFormat="1" ht="38.25">
      <c r="A217" s="389"/>
      <c r="B217" s="12"/>
      <c r="C217" s="178" t="s">
        <v>108</v>
      </c>
      <c r="D217" s="14" t="s">
        <v>109</v>
      </c>
      <c r="E217" s="301">
        <v>65282</v>
      </c>
      <c r="F217" s="298">
        <f>SUM(G217:H217)</f>
        <v>0</v>
      </c>
      <c r="G217" s="363">
        <v>0</v>
      </c>
      <c r="H217" s="390"/>
      <c r="I217" s="167">
        <f>SUM(F217/E217)</f>
        <v>0</v>
      </c>
      <c r="J217" s="574"/>
      <c r="K217" s="574"/>
    </row>
    <row r="218" spans="1:11" s="356" customFormat="1" ht="45.75" customHeight="1">
      <c r="A218" s="386"/>
      <c r="B218" s="13"/>
      <c r="C218" s="178" t="s">
        <v>178</v>
      </c>
      <c r="D218" s="14" t="s">
        <v>88</v>
      </c>
      <c r="E218" s="383">
        <v>70000</v>
      </c>
      <c r="F218" s="298">
        <f>SUM(G218:H218)</f>
        <v>29999.68</v>
      </c>
      <c r="G218" s="375"/>
      <c r="H218" s="377">
        <v>29999.68</v>
      </c>
      <c r="I218" s="167">
        <f>SUM(F218/E218)</f>
        <v>0.42856685714285714</v>
      </c>
      <c r="J218" s="574"/>
      <c r="K218" s="574"/>
    </row>
    <row r="219" spans="1:11" s="356" customFormat="1" ht="12.75">
      <c r="A219" s="386"/>
      <c r="B219" s="12"/>
      <c r="C219" s="179"/>
      <c r="D219" s="18"/>
      <c r="E219" s="328"/>
      <c r="F219" s="388"/>
      <c r="G219" s="374"/>
      <c r="H219" s="371"/>
      <c r="I219" s="168"/>
      <c r="J219" s="574"/>
      <c r="K219" s="574"/>
    </row>
    <row r="220" spans="1:11" s="356" customFormat="1" ht="12.75">
      <c r="A220" s="386"/>
      <c r="B220" s="12">
        <v>80146</v>
      </c>
      <c r="C220" s="178"/>
      <c r="D220" s="14" t="s">
        <v>307</v>
      </c>
      <c r="E220" s="301">
        <f>SUM(E221)</f>
        <v>773</v>
      </c>
      <c r="F220" s="298">
        <f>SUM(F221)</f>
        <v>1381.14</v>
      </c>
      <c r="G220" s="363">
        <f>SUM(G221)</f>
        <v>1381.14</v>
      </c>
      <c r="H220" s="390">
        <f>SUM(H221)</f>
        <v>0</v>
      </c>
      <c r="I220" s="167">
        <f>SUM(F220/E220)</f>
        <v>1.7867270375161708</v>
      </c>
      <c r="J220" s="574"/>
      <c r="K220" s="574"/>
    </row>
    <row r="221" spans="1:11" s="356" customFormat="1" ht="35.25" customHeight="1">
      <c r="A221" s="389"/>
      <c r="B221" s="13"/>
      <c r="C221" s="178" t="s">
        <v>351</v>
      </c>
      <c r="D221" s="145" t="s">
        <v>350</v>
      </c>
      <c r="E221" s="301">
        <v>773</v>
      </c>
      <c r="F221" s="298">
        <f>SUM(G221:H221)</f>
        <v>1381.14</v>
      </c>
      <c r="G221" s="363">
        <v>1381.14</v>
      </c>
      <c r="H221" s="364"/>
      <c r="I221" s="171">
        <f>SUM(F221/E221)</f>
        <v>1.7867270375161708</v>
      </c>
      <c r="J221" s="574"/>
      <c r="K221" s="574"/>
    </row>
    <row r="222" spans="1:11" s="356" customFormat="1" ht="12.75">
      <c r="A222" s="386"/>
      <c r="B222" s="12"/>
      <c r="C222" s="179"/>
      <c r="D222" s="18"/>
      <c r="E222" s="328"/>
      <c r="F222" s="388"/>
      <c r="G222" s="374"/>
      <c r="H222" s="371"/>
      <c r="I222" s="168"/>
      <c r="J222" s="574"/>
      <c r="K222" s="574"/>
    </row>
    <row r="223" spans="1:11" s="356" customFormat="1" ht="12.75">
      <c r="A223" s="386"/>
      <c r="B223" s="12">
        <v>80195</v>
      </c>
      <c r="C223" s="180"/>
      <c r="D223" s="14" t="s">
        <v>110</v>
      </c>
      <c r="E223" s="301">
        <f>SUM(E224)+E225</f>
        <v>81505</v>
      </c>
      <c r="F223" s="298">
        <f>SUM(F224)+F225</f>
        <v>81505</v>
      </c>
      <c r="G223" s="298">
        <f>SUM(G224)+G225</f>
        <v>81505</v>
      </c>
      <c r="H223" s="298">
        <f>SUM(H224)+H225</f>
        <v>0</v>
      </c>
      <c r="I223" s="167">
        <f>SUM(F223/E223)</f>
        <v>1</v>
      </c>
      <c r="J223" s="574"/>
      <c r="K223" s="574"/>
    </row>
    <row r="224" spans="1:11" s="356" customFormat="1" ht="35.25" customHeight="1">
      <c r="A224" s="386"/>
      <c r="B224" s="12"/>
      <c r="C224" s="180" t="s">
        <v>180</v>
      </c>
      <c r="D224" s="14" t="s">
        <v>181</v>
      </c>
      <c r="E224" s="301">
        <v>81504</v>
      </c>
      <c r="F224" s="298">
        <f>SUM(G224:H224)</f>
        <v>81504</v>
      </c>
      <c r="G224" s="363">
        <v>81504</v>
      </c>
      <c r="H224" s="364"/>
      <c r="I224" s="171">
        <f>SUM(F224/E224)</f>
        <v>1</v>
      </c>
      <c r="J224" s="574"/>
      <c r="K224" s="574"/>
    </row>
    <row r="225" spans="1:11" s="294" customFormat="1" ht="30.75" customHeight="1" thickBot="1">
      <c r="A225" s="399"/>
      <c r="B225" s="400"/>
      <c r="C225" s="181">
        <v>2910</v>
      </c>
      <c r="D225" s="153" t="s">
        <v>346</v>
      </c>
      <c r="E225" s="530">
        <v>1</v>
      </c>
      <c r="F225" s="552">
        <f>SUM(G225:H225)</f>
        <v>1</v>
      </c>
      <c r="G225" s="552">
        <v>1</v>
      </c>
      <c r="H225" s="401"/>
      <c r="I225" s="170">
        <f>SUM(F225/E225)</f>
        <v>1</v>
      </c>
      <c r="J225" s="568"/>
      <c r="K225" s="568"/>
    </row>
    <row r="226" spans="1:11" s="356" customFormat="1" ht="14.25" customHeight="1" thickTop="1">
      <c r="A226" s="386"/>
      <c r="B226" s="387"/>
      <c r="C226" s="177"/>
      <c r="D226" s="357"/>
      <c r="E226" s="286"/>
      <c r="F226" s="371"/>
      <c r="G226" s="374"/>
      <c r="H226" s="371"/>
      <c r="I226" s="168"/>
      <c r="J226" s="574"/>
      <c r="K226" s="574"/>
    </row>
    <row r="227" spans="1:11" s="356" customFormat="1" ht="14.25" customHeight="1">
      <c r="A227" s="386">
        <v>851</v>
      </c>
      <c r="B227" s="387"/>
      <c r="C227" s="176"/>
      <c r="D227" s="329" t="s">
        <v>77</v>
      </c>
      <c r="E227" s="301">
        <f>E229</f>
        <v>3288</v>
      </c>
      <c r="F227" s="298">
        <f>F229</f>
        <v>2707.42</v>
      </c>
      <c r="G227" s="298">
        <f>G229</f>
        <v>2707.42</v>
      </c>
      <c r="H227" s="298">
        <f>H229</f>
        <v>0</v>
      </c>
      <c r="I227" s="167">
        <f>SUM(F227/E227)</f>
        <v>0.8234245742092458</v>
      </c>
      <c r="J227" s="574"/>
      <c r="K227" s="574"/>
    </row>
    <row r="228" spans="1:11" s="356" customFormat="1" ht="14.25" customHeight="1">
      <c r="A228" s="386"/>
      <c r="B228" s="12"/>
      <c r="C228" s="182"/>
      <c r="D228" s="357"/>
      <c r="E228" s="328"/>
      <c r="F228" s="327"/>
      <c r="G228" s="381"/>
      <c r="H228" s="327"/>
      <c r="I228" s="168"/>
      <c r="J228" s="574"/>
      <c r="K228" s="574"/>
    </row>
    <row r="229" spans="1:11" s="356" customFormat="1" ht="14.25" customHeight="1">
      <c r="A229" s="386"/>
      <c r="B229" s="12">
        <v>85195</v>
      </c>
      <c r="C229" s="44"/>
      <c r="D229" s="329" t="s">
        <v>110</v>
      </c>
      <c r="E229" s="301">
        <f>SUM(E230:E232)</f>
        <v>3288</v>
      </c>
      <c r="F229" s="298">
        <f>SUM(F230:F232)</f>
        <v>2707.42</v>
      </c>
      <c r="G229" s="298">
        <f>SUM(G230:G232)</f>
        <v>2707.42</v>
      </c>
      <c r="H229" s="298">
        <f>SUM(H230:H232)</f>
        <v>0</v>
      </c>
      <c r="I229" s="167">
        <f>SUM(F229/E229)</f>
        <v>0.8234245742092458</v>
      </c>
      <c r="J229" s="574"/>
      <c r="K229" s="574"/>
    </row>
    <row r="230" spans="1:11" s="356" customFormat="1" ht="38.25">
      <c r="A230" s="386"/>
      <c r="B230" s="12"/>
      <c r="C230" s="183" t="s">
        <v>182</v>
      </c>
      <c r="D230" s="17" t="s">
        <v>183</v>
      </c>
      <c r="E230" s="383">
        <v>1508</v>
      </c>
      <c r="F230" s="298">
        <f>SUM(G230:H230)</f>
        <v>927</v>
      </c>
      <c r="G230" s="363">
        <v>927</v>
      </c>
      <c r="H230" s="364"/>
      <c r="I230" s="167">
        <f>SUM(F230/E230)</f>
        <v>0.6147214854111406</v>
      </c>
      <c r="J230" s="574"/>
      <c r="K230" s="574"/>
    </row>
    <row r="231" spans="1:11" s="356" customFormat="1" ht="25.5" customHeight="1">
      <c r="A231" s="386"/>
      <c r="B231" s="12"/>
      <c r="C231" s="184" t="s">
        <v>99</v>
      </c>
      <c r="D231" s="17" t="s">
        <v>100</v>
      </c>
      <c r="E231" s="383">
        <v>8</v>
      </c>
      <c r="F231" s="521">
        <f>SUM(G231:H231)</f>
        <v>8.1</v>
      </c>
      <c r="G231" s="384">
        <v>8.1</v>
      </c>
      <c r="H231" s="385"/>
      <c r="I231" s="171">
        <f>SUM(F231/E231)</f>
        <v>1.0125</v>
      </c>
      <c r="J231" s="574"/>
      <c r="K231" s="574"/>
    </row>
    <row r="232" spans="1:11" s="294" customFormat="1" ht="30.75" customHeight="1" thickBot="1">
      <c r="A232" s="399"/>
      <c r="B232" s="400"/>
      <c r="C232" s="181">
        <v>2910</v>
      </c>
      <c r="D232" s="153" t="s">
        <v>346</v>
      </c>
      <c r="E232" s="530">
        <v>1772</v>
      </c>
      <c r="F232" s="552">
        <f>SUM(G232:H232)</f>
        <v>1772.32</v>
      </c>
      <c r="G232" s="552">
        <v>1772.32</v>
      </c>
      <c r="H232" s="401"/>
      <c r="I232" s="170">
        <f>SUM(F232/E232)</f>
        <v>1.0001805869074492</v>
      </c>
      <c r="J232" s="568"/>
      <c r="K232" s="568"/>
    </row>
    <row r="233" spans="1:11" s="356" customFormat="1" ht="14.25" customHeight="1" thickTop="1">
      <c r="A233" s="386"/>
      <c r="B233" s="387"/>
      <c r="C233" s="185"/>
      <c r="D233" s="34"/>
      <c r="E233" s="328"/>
      <c r="F233" s="388"/>
      <c r="G233" s="374"/>
      <c r="H233" s="371"/>
      <c r="I233" s="168"/>
      <c r="J233" s="574"/>
      <c r="K233" s="574"/>
    </row>
    <row r="234" spans="1:11" s="356" customFormat="1" ht="14.25" customHeight="1">
      <c r="A234" s="386">
        <v>852</v>
      </c>
      <c r="B234" s="355"/>
      <c r="C234" s="176"/>
      <c r="D234" s="329" t="s">
        <v>78</v>
      </c>
      <c r="E234" s="402">
        <f>E244+E251+E236+E240+E247</f>
        <v>1776616</v>
      </c>
      <c r="F234" s="298">
        <f>F244+F251+F236+F240+F247</f>
        <v>1281171.71</v>
      </c>
      <c r="G234" s="298">
        <f>G244+G251+G236+G240+G247</f>
        <v>1281171.71</v>
      </c>
      <c r="H234" s="298">
        <f>H244+H251+H236+H240+H247</f>
        <v>0</v>
      </c>
      <c r="I234" s="167">
        <f>SUM(F234/E234)</f>
        <v>0.7211303455558207</v>
      </c>
      <c r="J234" s="574"/>
      <c r="K234" s="574"/>
    </row>
    <row r="235" spans="1:11" s="356" customFormat="1" ht="14.25" customHeight="1">
      <c r="A235" s="386"/>
      <c r="B235" s="12">
        <v>85212</v>
      </c>
      <c r="C235" s="182"/>
      <c r="D235" s="357" t="s">
        <v>184</v>
      </c>
      <c r="E235" s="328"/>
      <c r="F235" s="327"/>
      <c r="G235" s="327"/>
      <c r="H235" s="327"/>
      <c r="I235" s="168"/>
      <c r="J235" s="574"/>
      <c r="K235" s="574"/>
    </row>
    <row r="236" spans="1:11" s="356" customFormat="1" ht="14.25" customHeight="1">
      <c r="A236" s="386"/>
      <c r="B236" s="387"/>
      <c r="C236" s="176"/>
      <c r="D236" s="329" t="s">
        <v>185</v>
      </c>
      <c r="E236" s="301">
        <f>SUM(E238)</f>
        <v>40000</v>
      </c>
      <c r="F236" s="298">
        <f>SUM(F238)</f>
        <v>33853.87</v>
      </c>
      <c r="G236" s="298">
        <f>SUM(G238)</f>
        <v>33853.87</v>
      </c>
      <c r="H236" s="298">
        <f>SUM(H238)</f>
        <v>0</v>
      </c>
      <c r="I236" s="167"/>
      <c r="J236" s="574"/>
      <c r="K236" s="574"/>
    </row>
    <row r="237" spans="1:11" s="356" customFormat="1" ht="20.25" customHeight="1">
      <c r="A237" s="386"/>
      <c r="B237" s="387"/>
      <c r="C237" s="186">
        <v>2360</v>
      </c>
      <c r="D237" s="1363" t="s">
        <v>105</v>
      </c>
      <c r="E237" s="320"/>
      <c r="F237" s="362"/>
      <c r="G237" s="361"/>
      <c r="H237" s="362"/>
      <c r="I237" s="166"/>
      <c r="J237" s="574"/>
      <c r="K237" s="574"/>
    </row>
    <row r="238" spans="1:11" s="356" customFormat="1" ht="14.25" customHeight="1">
      <c r="A238" s="386"/>
      <c r="B238" s="355"/>
      <c r="C238" s="176"/>
      <c r="D238" s="1364"/>
      <c r="E238" s="403">
        <v>40000</v>
      </c>
      <c r="F238" s="390">
        <f>SUM(G238:H238)</f>
        <v>33853.87</v>
      </c>
      <c r="G238" s="363">
        <v>33853.87</v>
      </c>
      <c r="H238" s="364"/>
      <c r="I238" s="167">
        <f>SUM(F238/E238)</f>
        <v>0.84634675</v>
      </c>
      <c r="J238" s="574"/>
      <c r="K238" s="574"/>
    </row>
    <row r="239" spans="1:11" s="356" customFormat="1" ht="14.25" customHeight="1">
      <c r="A239" s="386"/>
      <c r="B239" s="12"/>
      <c r="C239" s="182"/>
      <c r="D239" s="357"/>
      <c r="E239" s="286"/>
      <c r="F239" s="371"/>
      <c r="G239" s="374"/>
      <c r="H239" s="371"/>
      <c r="I239" s="168"/>
      <c r="J239" s="574"/>
      <c r="K239" s="574"/>
    </row>
    <row r="240" spans="1:11" s="356" customFormat="1" ht="14.25" customHeight="1">
      <c r="A240" s="386"/>
      <c r="B240" s="12">
        <v>85214</v>
      </c>
      <c r="C240" s="44"/>
      <c r="D240" s="329" t="s">
        <v>186</v>
      </c>
      <c r="E240" s="403">
        <f>SUM(E241:E242)</f>
        <v>691000</v>
      </c>
      <c r="F240" s="390">
        <f>SUM(F241:F242)</f>
        <v>389088.28</v>
      </c>
      <c r="G240" s="390">
        <f>SUM(G241:G242)</f>
        <v>389088.28</v>
      </c>
      <c r="H240" s="390">
        <f>SUM(H241:H242)</f>
        <v>0</v>
      </c>
      <c r="I240" s="167">
        <f aca="true" t="shared" si="10" ref="I240:I248">SUM(F240/E240)</f>
        <v>0.56308</v>
      </c>
      <c r="J240" s="574"/>
      <c r="K240" s="574"/>
    </row>
    <row r="241" spans="1:11" s="356" customFormat="1" ht="27" customHeight="1">
      <c r="A241" s="386"/>
      <c r="B241" s="12"/>
      <c r="C241" s="187" t="s">
        <v>101</v>
      </c>
      <c r="D241" s="17" t="s">
        <v>102</v>
      </c>
      <c r="E241" s="531">
        <v>5000</v>
      </c>
      <c r="F241" s="375">
        <f>SUM(G241:H241)</f>
        <v>3258.28</v>
      </c>
      <c r="G241" s="375">
        <v>3258.28</v>
      </c>
      <c r="H241" s="376"/>
      <c r="I241" s="171">
        <f t="shared" si="10"/>
        <v>0.651656</v>
      </c>
      <c r="J241" s="574"/>
      <c r="K241" s="574"/>
    </row>
    <row r="242" spans="1:11" s="356" customFormat="1" ht="28.5" customHeight="1" thickBot="1">
      <c r="A242" s="1279"/>
      <c r="B242" s="435"/>
      <c r="C242" s="1284">
        <v>2030</v>
      </c>
      <c r="D242" s="1253" t="s">
        <v>181</v>
      </c>
      <c r="E242" s="1285">
        <v>686000</v>
      </c>
      <c r="F242" s="1268">
        <f>SUM(G242:H242)</f>
        <v>385830</v>
      </c>
      <c r="G242" s="1268">
        <v>385830</v>
      </c>
      <c r="H242" s="1269"/>
      <c r="I242" s="1276">
        <f t="shared" si="10"/>
        <v>0.5624344023323615</v>
      </c>
      <c r="J242" s="574"/>
      <c r="K242" s="574"/>
    </row>
    <row r="243" spans="1:11" s="296" customFormat="1" ht="14.25" customHeight="1">
      <c r="A243" s="1270">
        <v>1</v>
      </c>
      <c r="B243" s="1260">
        <v>2</v>
      </c>
      <c r="C243" s="1271">
        <v>3</v>
      </c>
      <c r="D243" s="1260">
        <v>4</v>
      </c>
      <c r="E243" s="1271">
        <v>5</v>
      </c>
      <c r="F243" s="1272">
        <v>6</v>
      </c>
      <c r="G243" s="1262">
        <v>7</v>
      </c>
      <c r="H243" s="1272">
        <v>8</v>
      </c>
      <c r="I243" s="1264">
        <v>9</v>
      </c>
      <c r="J243" s="569"/>
      <c r="K243" s="569"/>
    </row>
    <row r="244" spans="1:11" s="356" customFormat="1" ht="24.75" customHeight="1">
      <c r="A244" s="386"/>
      <c r="B244" s="12">
        <v>85219</v>
      </c>
      <c r="C244" s="44"/>
      <c r="D244" s="329" t="s">
        <v>187</v>
      </c>
      <c r="E244" s="301">
        <f>SUM(E245:E246)</f>
        <v>568526</v>
      </c>
      <c r="F244" s="298">
        <f>SUM(F245:F246)</f>
        <v>434294</v>
      </c>
      <c r="G244" s="298">
        <f>SUM(G245:G246)</f>
        <v>434294</v>
      </c>
      <c r="H244" s="298">
        <f>SUM(H245:H246)</f>
        <v>0</v>
      </c>
      <c r="I244" s="167">
        <f t="shared" si="10"/>
        <v>0.7638947031446232</v>
      </c>
      <c r="J244" s="574"/>
      <c r="K244" s="574"/>
    </row>
    <row r="245" spans="1:11" s="356" customFormat="1" ht="25.5" customHeight="1">
      <c r="A245" s="386"/>
      <c r="B245" s="12"/>
      <c r="C245" s="178" t="s">
        <v>101</v>
      </c>
      <c r="D245" s="17" t="s">
        <v>102</v>
      </c>
      <c r="E245" s="301">
        <v>26</v>
      </c>
      <c r="F245" s="521">
        <f>SUM(G245:H245)</f>
        <v>44</v>
      </c>
      <c r="G245" s="375">
        <v>44</v>
      </c>
      <c r="H245" s="376"/>
      <c r="I245" s="167">
        <f t="shared" si="10"/>
        <v>1.6923076923076923</v>
      </c>
      <c r="J245" s="574"/>
      <c r="K245" s="574"/>
    </row>
    <row r="246" spans="1:11" s="356" customFormat="1" ht="33.75" customHeight="1">
      <c r="A246" s="386"/>
      <c r="B246" s="13"/>
      <c r="C246" s="183" t="s">
        <v>180</v>
      </c>
      <c r="D246" s="14" t="s">
        <v>181</v>
      </c>
      <c r="E246" s="301">
        <v>568500</v>
      </c>
      <c r="F246" s="360">
        <f>SUM(G246:H246)</f>
        <v>434250</v>
      </c>
      <c r="G246" s="360">
        <v>434250</v>
      </c>
      <c r="H246" s="358"/>
      <c r="I246" s="167">
        <f t="shared" si="10"/>
        <v>0.7638522427440633</v>
      </c>
      <c r="J246" s="574"/>
      <c r="K246" s="574"/>
    </row>
    <row r="247" spans="1:11" s="356" customFormat="1" ht="34.5" customHeight="1">
      <c r="A247" s="386"/>
      <c r="B247" s="12">
        <v>85228</v>
      </c>
      <c r="C247" s="44"/>
      <c r="D247" s="329" t="s">
        <v>188</v>
      </c>
      <c r="E247" s="403">
        <f>SUM(E248:E250)</f>
        <v>36350</v>
      </c>
      <c r="F247" s="390">
        <f>SUM(F248:F250)</f>
        <v>47545.81</v>
      </c>
      <c r="G247" s="390">
        <f>SUM(G248:G250)</f>
        <v>47545.81</v>
      </c>
      <c r="H247" s="390">
        <f>SUM(H248:H250)</f>
        <v>0</v>
      </c>
      <c r="I247" s="167">
        <f t="shared" si="10"/>
        <v>1.3080002751031636</v>
      </c>
      <c r="J247" s="574"/>
      <c r="K247" s="574"/>
    </row>
    <row r="248" spans="1:11" s="356" customFormat="1" ht="28.5" customHeight="1">
      <c r="A248" s="386"/>
      <c r="B248" s="12"/>
      <c r="C248" s="189" t="s">
        <v>189</v>
      </c>
      <c r="D248" s="37" t="s">
        <v>190</v>
      </c>
      <c r="E248" s="532">
        <v>36000</v>
      </c>
      <c r="F248" s="363">
        <f>SUM(G248:H248)</f>
        <v>47448.32</v>
      </c>
      <c r="G248" s="363">
        <v>47448.32</v>
      </c>
      <c r="H248" s="364"/>
      <c r="I248" s="167">
        <f t="shared" si="10"/>
        <v>1.3180088888888888</v>
      </c>
      <c r="J248" s="574"/>
      <c r="K248" s="574"/>
    </row>
    <row r="249" spans="1:11" s="356" customFormat="1" ht="14.25" customHeight="1">
      <c r="A249" s="386"/>
      <c r="B249" s="12"/>
      <c r="C249" s="186">
        <v>2360</v>
      </c>
      <c r="D249" s="1363" t="s">
        <v>105</v>
      </c>
      <c r="E249" s="533"/>
      <c r="F249" s="315"/>
      <c r="G249" s="315"/>
      <c r="H249" s="361"/>
      <c r="I249" s="166"/>
      <c r="J249" s="574"/>
      <c r="K249" s="574"/>
    </row>
    <row r="250" spans="1:11" s="356" customFormat="1" ht="22.5" customHeight="1">
      <c r="A250" s="386"/>
      <c r="B250" s="13"/>
      <c r="C250" s="176"/>
      <c r="D250" s="1364"/>
      <c r="E250" s="404">
        <v>350</v>
      </c>
      <c r="F250" s="363">
        <f>SUM(G250:H250)</f>
        <v>97.49</v>
      </c>
      <c r="G250" s="363">
        <v>97.49</v>
      </c>
      <c r="H250" s="365"/>
      <c r="I250" s="167"/>
      <c r="J250" s="574"/>
      <c r="K250" s="574"/>
    </row>
    <row r="251" spans="1:11" s="356" customFormat="1" ht="26.25" customHeight="1">
      <c r="A251" s="386"/>
      <c r="B251" s="12">
        <v>85295</v>
      </c>
      <c r="C251" s="176"/>
      <c r="D251" s="329" t="s">
        <v>110</v>
      </c>
      <c r="E251" s="301">
        <f>SUM(E252:E253)</f>
        <v>440740</v>
      </c>
      <c r="F251" s="298">
        <f>SUM(F252:F253)</f>
        <v>376389.75</v>
      </c>
      <c r="G251" s="298">
        <f>SUM(G252:G253)</f>
        <v>376389.75</v>
      </c>
      <c r="H251" s="298">
        <f>SUM(H252:H253)</f>
        <v>0</v>
      </c>
      <c r="I251" s="167">
        <f>SUM(F251/E251)</f>
        <v>0.8539949857058583</v>
      </c>
      <c r="J251" s="574"/>
      <c r="K251" s="574"/>
    </row>
    <row r="252" spans="1:11" s="356" customFormat="1" ht="26.25" customHeight="1">
      <c r="A252" s="386"/>
      <c r="B252" s="12"/>
      <c r="C252" s="183" t="s">
        <v>101</v>
      </c>
      <c r="D252" s="18" t="s">
        <v>102</v>
      </c>
      <c r="E252" s="301">
        <v>340</v>
      </c>
      <c r="F252" s="298">
        <f>SUM(G252:H252)</f>
        <v>339.75</v>
      </c>
      <c r="G252" s="298">
        <v>339.75</v>
      </c>
      <c r="H252" s="359"/>
      <c r="I252" s="167">
        <f>SUM(F252/E252)</f>
        <v>0.9992647058823529</v>
      </c>
      <c r="J252" s="574"/>
      <c r="K252" s="574"/>
    </row>
    <row r="253" spans="1:11" s="356" customFormat="1" ht="26.25" thickBot="1">
      <c r="A253" s="405"/>
      <c r="B253" s="42"/>
      <c r="C253" s="256" t="s">
        <v>180</v>
      </c>
      <c r="D253" s="25" t="s">
        <v>181</v>
      </c>
      <c r="E253" s="534">
        <v>440400</v>
      </c>
      <c r="F253" s="561">
        <f>SUM(G253:H253)</f>
        <v>376050</v>
      </c>
      <c r="G253" s="557">
        <v>376050</v>
      </c>
      <c r="H253" s="380"/>
      <c r="I253" s="170">
        <f>SUM(F253/E253)</f>
        <v>0.853882833787466</v>
      </c>
      <c r="J253" s="574"/>
      <c r="K253" s="574"/>
    </row>
    <row r="254" spans="1:11" s="411" customFormat="1" ht="14.25" customHeight="1" thickTop="1">
      <c r="A254" s="406"/>
      <c r="B254" s="35"/>
      <c r="C254" s="190"/>
      <c r="D254" s="35"/>
      <c r="E254" s="407"/>
      <c r="F254" s="500"/>
      <c r="G254" s="409"/>
      <c r="H254" s="410"/>
      <c r="I254" s="168"/>
      <c r="J254" s="577"/>
      <c r="K254" s="577"/>
    </row>
    <row r="255" spans="1:11" s="356" customFormat="1" ht="14.25" customHeight="1">
      <c r="A255" s="386">
        <v>853</v>
      </c>
      <c r="B255" s="355"/>
      <c r="C255" s="176"/>
      <c r="D255" s="329" t="s">
        <v>191</v>
      </c>
      <c r="E255" s="301">
        <f>SUM(E257)</f>
        <v>506499</v>
      </c>
      <c r="F255" s="298">
        <f>SUM(F257)</f>
        <v>178029</v>
      </c>
      <c r="G255" s="298">
        <f>SUM(G257)</f>
        <v>178029</v>
      </c>
      <c r="H255" s="298">
        <f>SUM(H257)</f>
        <v>0</v>
      </c>
      <c r="I255" s="167">
        <f>SUM(F255/E255)</f>
        <v>0.3514893415386802</v>
      </c>
      <c r="J255" s="574"/>
      <c r="K255" s="574"/>
    </row>
    <row r="256" spans="1:11" s="356" customFormat="1" ht="12.75">
      <c r="A256" s="386"/>
      <c r="B256" s="12"/>
      <c r="C256" s="182"/>
      <c r="D256" s="18"/>
      <c r="E256" s="328"/>
      <c r="F256" s="388"/>
      <c r="G256" s="374"/>
      <c r="H256" s="371"/>
      <c r="I256" s="168"/>
      <c r="J256" s="574"/>
      <c r="K256" s="574"/>
    </row>
    <row r="257" spans="1:11" s="356" customFormat="1" ht="12.75">
      <c r="A257" s="386"/>
      <c r="B257" s="12">
        <v>85395</v>
      </c>
      <c r="C257" s="44"/>
      <c r="D257" s="14" t="s">
        <v>110</v>
      </c>
      <c r="E257" s="301">
        <f>SUM(E258:E261)</f>
        <v>506499</v>
      </c>
      <c r="F257" s="298">
        <f>SUM(F258:F261)</f>
        <v>178029</v>
      </c>
      <c r="G257" s="298">
        <f>SUM(G258:G261)</f>
        <v>178029</v>
      </c>
      <c r="H257" s="298">
        <f>SUM(H258:H261)</f>
        <v>0</v>
      </c>
      <c r="I257" s="167">
        <f>SUM(F257/E257)</f>
        <v>0.3514893415386802</v>
      </c>
      <c r="J257" s="574"/>
      <c r="K257" s="574"/>
    </row>
    <row r="258" spans="1:11" s="294" customFormat="1" ht="21" customHeight="1">
      <c r="A258" s="302"/>
      <c r="B258" s="372"/>
      <c r="C258" s="191">
        <v>2008</v>
      </c>
      <c r="D258" s="143" t="s">
        <v>349</v>
      </c>
      <c r="E258" s="373">
        <v>412916</v>
      </c>
      <c r="F258" s="562">
        <f>SUM(G258:H258)</f>
        <v>133712.65</v>
      </c>
      <c r="G258" s="562">
        <v>133712.65</v>
      </c>
      <c r="H258" s="410"/>
      <c r="I258" s="167">
        <f>SUM(F258/E258)</f>
        <v>0.3238253058733495</v>
      </c>
      <c r="J258" s="568"/>
      <c r="K258" s="568"/>
    </row>
    <row r="259" spans="1:11" s="294" customFormat="1" ht="21" customHeight="1">
      <c r="A259" s="302"/>
      <c r="B259" s="372"/>
      <c r="C259" s="192">
        <v>2009</v>
      </c>
      <c r="D259" s="143" t="s">
        <v>349</v>
      </c>
      <c r="E259" s="525">
        <v>72863</v>
      </c>
      <c r="F259" s="562">
        <f>SUM(G259:H259)</f>
        <v>23596.35</v>
      </c>
      <c r="G259" s="563">
        <f>59083.9-35487.55</f>
        <v>23596.35</v>
      </c>
      <c r="H259" s="412"/>
      <c r="I259" s="171">
        <f>SUM(F259/E259)</f>
        <v>0.3238454359551487</v>
      </c>
      <c r="J259" s="568"/>
      <c r="K259" s="568"/>
    </row>
    <row r="260" spans="1:11" s="294" customFormat="1" ht="38.25">
      <c r="A260" s="302"/>
      <c r="B260" s="372"/>
      <c r="C260" s="188">
        <v>2708</v>
      </c>
      <c r="D260" s="159" t="s">
        <v>109</v>
      </c>
      <c r="E260" s="525">
        <v>18282</v>
      </c>
      <c r="F260" s="558">
        <f>SUM(G260:H260)</f>
        <v>18282.35</v>
      </c>
      <c r="G260" s="563">
        <v>18282.35</v>
      </c>
      <c r="H260" s="413"/>
      <c r="I260" s="171">
        <f>SUM(F260/E260)</f>
        <v>1.0000191445137292</v>
      </c>
      <c r="J260" s="568"/>
      <c r="K260" s="568"/>
    </row>
    <row r="261" spans="1:11" s="294" customFormat="1" ht="45.75" customHeight="1" thickBot="1">
      <c r="A261" s="399"/>
      <c r="B261" s="400"/>
      <c r="C261" s="181">
        <v>2709</v>
      </c>
      <c r="D261" s="153" t="s">
        <v>109</v>
      </c>
      <c r="E261" s="530">
        <v>2438</v>
      </c>
      <c r="F261" s="552">
        <f>SUM(G261:H261)</f>
        <v>2437.65</v>
      </c>
      <c r="G261" s="553">
        <v>2437.65</v>
      </c>
      <c r="H261" s="414"/>
      <c r="I261" s="170">
        <f>SUM(F261/E261)</f>
        <v>0.999856439704676</v>
      </c>
      <c r="J261" s="568"/>
      <c r="K261" s="568"/>
    </row>
    <row r="262" spans="1:11" s="411" customFormat="1" ht="14.25" customHeight="1" thickTop="1">
      <c r="A262" s="406"/>
      <c r="B262" s="35"/>
      <c r="C262" s="190"/>
      <c r="D262" s="35"/>
      <c r="E262" s="407"/>
      <c r="F262" s="500"/>
      <c r="G262" s="409"/>
      <c r="H262" s="410"/>
      <c r="I262" s="168"/>
      <c r="J262" s="577"/>
      <c r="K262" s="577"/>
    </row>
    <row r="263" spans="1:11" s="294" customFormat="1" ht="14.25" customHeight="1">
      <c r="A263" s="302">
        <v>854</v>
      </c>
      <c r="B263" s="415"/>
      <c r="C263" s="199"/>
      <c r="D263" s="145" t="s">
        <v>355</v>
      </c>
      <c r="E263" s="373">
        <f>SUM(E265)</f>
        <v>165291</v>
      </c>
      <c r="F263" s="323">
        <f>SUM(F265)</f>
        <v>165291</v>
      </c>
      <c r="G263" s="323">
        <f>SUM(G265)</f>
        <v>165291</v>
      </c>
      <c r="H263" s="323">
        <f>SUM(H265)</f>
        <v>0</v>
      </c>
      <c r="I263" s="167">
        <f>SUM(F263/E263)</f>
        <v>1</v>
      </c>
      <c r="J263" s="568"/>
      <c r="K263" s="568"/>
    </row>
    <row r="264" spans="1:11" s="294" customFormat="1" ht="12.75">
      <c r="A264" s="302"/>
      <c r="B264" s="372"/>
      <c r="C264" s="200"/>
      <c r="D264" s="155" t="s">
        <v>319</v>
      </c>
      <c r="E264" s="382"/>
      <c r="F264" s="330"/>
      <c r="G264" s="416"/>
      <c r="H264" s="417"/>
      <c r="I264" s="168"/>
      <c r="J264" s="568"/>
      <c r="K264" s="568"/>
    </row>
    <row r="265" spans="1:11" s="294" customFormat="1" ht="12.75">
      <c r="A265" s="302"/>
      <c r="B265" s="372">
        <v>85415</v>
      </c>
      <c r="C265" s="191"/>
      <c r="D265" s="143"/>
      <c r="E265" s="373">
        <f>SUM(E266)</f>
        <v>165291</v>
      </c>
      <c r="F265" s="323">
        <f>SUM(F266)</f>
        <v>165291</v>
      </c>
      <c r="G265" s="323">
        <f>SUM(G266)</f>
        <v>165291</v>
      </c>
      <c r="H265" s="323">
        <f>SUM(H266)</f>
        <v>0</v>
      </c>
      <c r="I265" s="167">
        <f>SUM(F265/E265)</f>
        <v>1</v>
      </c>
      <c r="J265" s="568"/>
      <c r="K265" s="568"/>
    </row>
    <row r="266" spans="1:11" s="294" customFormat="1" ht="26.25" thickBot="1">
      <c r="A266" s="399"/>
      <c r="B266" s="400"/>
      <c r="C266" s="181">
        <v>2030</v>
      </c>
      <c r="D266" s="206" t="s">
        <v>181</v>
      </c>
      <c r="E266" s="530">
        <v>165291</v>
      </c>
      <c r="F266" s="564">
        <f>SUM(G266:H266)</f>
        <v>165291</v>
      </c>
      <c r="G266" s="553">
        <v>165291</v>
      </c>
      <c r="H266" s="418"/>
      <c r="I266" s="170">
        <f>SUM(F266/E266)</f>
        <v>1</v>
      </c>
      <c r="J266" s="568"/>
      <c r="K266" s="568"/>
    </row>
    <row r="267" spans="1:11" s="356" customFormat="1" ht="14.25" customHeight="1" thickTop="1">
      <c r="A267" s="386"/>
      <c r="B267" s="12"/>
      <c r="C267" s="177"/>
      <c r="D267" s="357"/>
      <c r="E267" s="328"/>
      <c r="F267" s="388"/>
      <c r="G267" s="374"/>
      <c r="H267" s="371"/>
      <c r="I267" s="168"/>
      <c r="J267" s="574"/>
      <c r="K267" s="574"/>
    </row>
    <row r="268" spans="1:11" s="356" customFormat="1" ht="14.25" customHeight="1">
      <c r="A268" s="386">
        <v>900</v>
      </c>
      <c r="B268" s="355"/>
      <c r="C268" s="176"/>
      <c r="D268" s="329" t="s">
        <v>80</v>
      </c>
      <c r="E268" s="301">
        <f>SUM(E270+E276+E280+E288+E291)+E284</f>
        <v>9402164</v>
      </c>
      <c r="F268" s="298">
        <f>SUM(F270+F276+F280+F288+F291)+F284</f>
        <v>6156671.42</v>
      </c>
      <c r="G268" s="298">
        <f>SUM(G270+G276+G280+G288+G291)+G284</f>
        <v>2142806.79</v>
      </c>
      <c r="H268" s="298">
        <f>SUM(H270+H276+H280+H288+H291)+H284</f>
        <v>4013864.63</v>
      </c>
      <c r="I268" s="167">
        <f>SUM(F268/E268)</f>
        <v>0.6548142980701038</v>
      </c>
      <c r="J268" s="574"/>
      <c r="K268" s="574"/>
    </row>
    <row r="269" spans="1:11" s="356" customFormat="1" ht="14.25" customHeight="1">
      <c r="A269" s="386"/>
      <c r="B269" s="12"/>
      <c r="C269" s="177"/>
      <c r="D269" s="357"/>
      <c r="E269" s="328"/>
      <c r="F269" s="327"/>
      <c r="G269" s="381"/>
      <c r="H269" s="327"/>
      <c r="I269" s="168"/>
      <c r="J269" s="574"/>
      <c r="K269" s="574"/>
    </row>
    <row r="270" spans="1:11" s="356" customFormat="1" ht="14.25" customHeight="1">
      <c r="A270" s="386"/>
      <c r="B270" s="12">
        <v>90001</v>
      </c>
      <c r="C270" s="176"/>
      <c r="D270" s="329" t="s">
        <v>192</v>
      </c>
      <c r="E270" s="301">
        <f>SUM(E271:E274)-E274</f>
        <v>4386873</v>
      </c>
      <c r="F270" s="298">
        <f>SUM(F271:F274)-F274</f>
        <v>3848748.62</v>
      </c>
      <c r="G270" s="298">
        <f>SUM(G271:G274)-G274</f>
        <v>6607.14</v>
      </c>
      <c r="H270" s="298">
        <f>SUM(H271:H274)-H274</f>
        <v>3842141.48</v>
      </c>
      <c r="I270" s="167">
        <f>SUM(F270/E270)</f>
        <v>0.8773330388183109</v>
      </c>
      <c r="J270" s="574"/>
      <c r="K270" s="574"/>
    </row>
    <row r="271" spans="1:11" s="356" customFormat="1" ht="24" customHeight="1">
      <c r="A271" s="386"/>
      <c r="B271" s="12"/>
      <c r="C271" s="183" t="s">
        <v>101</v>
      </c>
      <c r="D271" s="14" t="s">
        <v>102</v>
      </c>
      <c r="E271" s="301">
        <v>6607</v>
      </c>
      <c r="F271" s="521">
        <f>SUM(G271:H271)</f>
        <v>6607.14</v>
      </c>
      <c r="G271" s="298">
        <v>6607.14</v>
      </c>
      <c r="H271" s="298"/>
      <c r="I271" s="167">
        <f>SUM(F271/E271)</f>
        <v>1.0000211896473439</v>
      </c>
      <c r="J271" s="578"/>
      <c r="K271" s="574"/>
    </row>
    <row r="272" spans="1:11" s="356" customFormat="1" ht="38.25">
      <c r="A272" s="386"/>
      <c r="B272" s="12"/>
      <c r="C272" s="193">
        <v>6260</v>
      </c>
      <c r="D272" s="17" t="s">
        <v>88</v>
      </c>
      <c r="E272" s="383">
        <v>4080266</v>
      </c>
      <c r="F272" s="521">
        <f>SUM(G272:H272)</f>
        <v>3842141.48</v>
      </c>
      <c r="G272" s="375"/>
      <c r="H272" s="377">
        <v>3842141.48</v>
      </c>
      <c r="I272" s="167">
        <f>SUM(F272/E272)</f>
        <v>0.9416399519050964</v>
      </c>
      <c r="J272" s="578"/>
      <c r="K272" s="574"/>
    </row>
    <row r="273" spans="1:11" s="356" customFormat="1" ht="39" thickBot="1">
      <c r="A273" s="1279"/>
      <c r="B273" s="435"/>
      <c r="C273" s="1286">
        <v>6269</v>
      </c>
      <c r="D273" s="1253" t="s">
        <v>88</v>
      </c>
      <c r="E273" s="1274">
        <v>300000</v>
      </c>
      <c r="F273" s="1282">
        <f>SUM(G273:H273)</f>
        <v>0</v>
      </c>
      <c r="G273" s="1256">
        <v>0</v>
      </c>
      <c r="H273" s="1257"/>
      <c r="I273" s="1276">
        <f>SUM(F273/E273)</f>
        <v>0</v>
      </c>
      <c r="J273" s="578"/>
      <c r="K273" s="574"/>
    </row>
    <row r="274" spans="1:11" s="296" customFormat="1" ht="14.25" customHeight="1">
      <c r="A274" s="1270">
        <v>1</v>
      </c>
      <c r="B274" s="1260">
        <v>2</v>
      </c>
      <c r="C274" s="1271">
        <v>3</v>
      </c>
      <c r="D274" s="1260">
        <v>4</v>
      </c>
      <c r="E274" s="1271">
        <v>5</v>
      </c>
      <c r="F274" s="1272">
        <v>6</v>
      </c>
      <c r="G274" s="1262">
        <v>7</v>
      </c>
      <c r="H274" s="1272">
        <v>8</v>
      </c>
      <c r="I274" s="1264">
        <v>9</v>
      </c>
      <c r="J274" s="578"/>
      <c r="K274" s="569"/>
    </row>
    <row r="275" spans="1:11" s="356" customFormat="1" ht="14.25" customHeight="1">
      <c r="A275" s="386"/>
      <c r="B275" s="12"/>
      <c r="C275" s="177"/>
      <c r="D275" s="357"/>
      <c r="E275" s="328"/>
      <c r="F275" s="327"/>
      <c r="G275" s="265"/>
      <c r="H275" s="266"/>
      <c r="I275" s="168"/>
      <c r="J275" s="578"/>
      <c r="K275" s="574"/>
    </row>
    <row r="276" spans="1:11" s="356" customFormat="1" ht="12.75">
      <c r="A276" s="386"/>
      <c r="B276" s="12">
        <v>90002</v>
      </c>
      <c r="C276" s="176"/>
      <c r="D276" s="329" t="s">
        <v>193</v>
      </c>
      <c r="E276" s="301">
        <f>SUM(E277:E278)</f>
        <v>1016357</v>
      </c>
      <c r="F276" s="298">
        <f>SUM(F277:F278)</f>
        <v>16356.78</v>
      </c>
      <c r="G276" s="298">
        <f>SUM(G277:G278)</f>
        <v>16356.78</v>
      </c>
      <c r="H276" s="298">
        <f>SUM(H277:H278)</f>
        <v>0</v>
      </c>
      <c r="I276" s="167">
        <f>SUM(F276/E276)</f>
        <v>0.016093537998951156</v>
      </c>
      <c r="J276" s="578"/>
      <c r="K276" s="574"/>
    </row>
    <row r="277" spans="1:11" s="356" customFormat="1" ht="25.5">
      <c r="A277" s="386"/>
      <c r="B277" s="12"/>
      <c r="C277" s="176">
        <v>2440</v>
      </c>
      <c r="D277" s="14" t="s">
        <v>194</v>
      </c>
      <c r="E277" s="301">
        <v>16357</v>
      </c>
      <c r="F277" s="298">
        <f>SUM(G277:H277)</f>
        <v>16356.78</v>
      </c>
      <c r="G277" s="375">
        <v>16356.78</v>
      </c>
      <c r="H277" s="377"/>
      <c r="I277" s="167">
        <f>SUM(F277/E277)</f>
        <v>0.9999865501008743</v>
      </c>
      <c r="J277" s="578"/>
      <c r="K277" s="574"/>
    </row>
    <row r="278" spans="1:11" s="356" customFormat="1" ht="38.25">
      <c r="A278" s="386"/>
      <c r="B278" s="13"/>
      <c r="C278" s="176">
        <v>6260</v>
      </c>
      <c r="D278" s="14" t="s">
        <v>88</v>
      </c>
      <c r="E278" s="301">
        <v>1000000</v>
      </c>
      <c r="F278" s="298">
        <f>SUM(G278:H278)</f>
        <v>0</v>
      </c>
      <c r="G278" s="375"/>
      <c r="H278" s="377">
        <v>0</v>
      </c>
      <c r="I278" s="167">
        <f>SUM(F278/E278)</f>
        <v>0</v>
      </c>
      <c r="J278" s="578"/>
      <c r="K278" s="574"/>
    </row>
    <row r="279" spans="1:11" s="356" customFormat="1" ht="12.75">
      <c r="A279" s="386"/>
      <c r="B279" s="12"/>
      <c r="C279" s="194"/>
      <c r="D279" s="18"/>
      <c r="E279" s="328"/>
      <c r="F279" s="388"/>
      <c r="G279" s="374"/>
      <c r="H279" s="371"/>
      <c r="I279" s="168"/>
      <c r="J279" s="578"/>
      <c r="K279" s="574"/>
    </row>
    <row r="280" spans="1:11" s="356" customFormat="1" ht="12.75">
      <c r="A280" s="386"/>
      <c r="B280" s="12">
        <v>90004</v>
      </c>
      <c r="C280" s="195"/>
      <c r="D280" s="14" t="s">
        <v>195</v>
      </c>
      <c r="E280" s="301">
        <f>SUM(E281)</f>
        <v>857500</v>
      </c>
      <c r="F280" s="298">
        <f>SUM(F281)</f>
        <v>184018.41</v>
      </c>
      <c r="G280" s="360">
        <f>SUM(G281)</f>
        <v>184018.41</v>
      </c>
      <c r="H280" s="298">
        <f>SUM(H281)</f>
        <v>0</v>
      </c>
      <c r="I280" s="167">
        <f>SUM(F280/E280)</f>
        <v>0.21459872886297376</v>
      </c>
      <c r="J280" s="578"/>
      <c r="K280" s="574"/>
    </row>
    <row r="281" spans="1:11" s="356" customFormat="1" ht="34.5" customHeight="1">
      <c r="A281" s="386"/>
      <c r="B281" s="13"/>
      <c r="C281" s="195" t="s">
        <v>196</v>
      </c>
      <c r="D281" s="14" t="s">
        <v>194</v>
      </c>
      <c r="E281" s="301">
        <v>857500</v>
      </c>
      <c r="F281" s="384">
        <f>SUM(G281:H281)</f>
        <v>184018.41</v>
      </c>
      <c r="G281" s="265">
        <v>184018.41</v>
      </c>
      <c r="H281" s="371"/>
      <c r="I281" s="167">
        <f>SUM(F281/E281)</f>
        <v>0.21459872886297376</v>
      </c>
      <c r="J281" s="578"/>
      <c r="K281" s="574"/>
    </row>
    <row r="282" spans="1:11" s="356" customFormat="1" ht="9" customHeight="1">
      <c r="A282" s="386"/>
      <c r="B282" s="12"/>
      <c r="C282" s="194"/>
      <c r="D282" s="18"/>
      <c r="E282" s="328"/>
      <c r="F282" s="388"/>
      <c r="G282" s="361"/>
      <c r="H282" s="362"/>
      <c r="I282" s="168"/>
      <c r="J282" s="578"/>
      <c r="K282" s="574"/>
    </row>
    <row r="283" spans="1:11" s="356" customFormat="1" ht="12.75">
      <c r="A283" s="386"/>
      <c r="B283" s="12">
        <v>90015</v>
      </c>
      <c r="C283" s="177"/>
      <c r="D283" s="357"/>
      <c r="E283" s="328"/>
      <c r="F283" s="388"/>
      <c r="G283" s="374"/>
      <c r="H283" s="371"/>
      <c r="I283" s="168"/>
      <c r="J283" s="578"/>
      <c r="K283" s="574"/>
    </row>
    <row r="284" spans="1:11" s="356" customFormat="1" ht="12.75">
      <c r="A284" s="386"/>
      <c r="B284" s="12"/>
      <c r="C284" s="176"/>
      <c r="D284" s="329" t="s">
        <v>324</v>
      </c>
      <c r="E284" s="301">
        <f>SUM(E285)</f>
        <v>78</v>
      </c>
      <c r="F284" s="298">
        <f>SUM(F285)</f>
        <v>78.08</v>
      </c>
      <c r="G284" s="360">
        <f>SUM(G285)</f>
        <v>78.08</v>
      </c>
      <c r="H284" s="298">
        <f>SUM(H285)</f>
        <v>0</v>
      </c>
      <c r="I284" s="167">
        <f>SUM(F284/E284)</f>
        <v>1.001025641025641</v>
      </c>
      <c r="J284" s="578"/>
      <c r="K284" s="574"/>
    </row>
    <row r="285" spans="1:11" s="356" customFormat="1" ht="25.5" customHeight="1">
      <c r="A285" s="389"/>
      <c r="B285" s="41"/>
      <c r="C285" s="183" t="s">
        <v>99</v>
      </c>
      <c r="D285" s="14" t="s">
        <v>100</v>
      </c>
      <c r="E285" s="383">
        <v>78</v>
      </c>
      <c r="F285" s="298">
        <f>SUM(G285:H285)</f>
        <v>78.08</v>
      </c>
      <c r="G285" s="363">
        <v>78.08</v>
      </c>
      <c r="H285" s="364"/>
      <c r="I285" s="167">
        <f>SUM(F285/E285)</f>
        <v>1.001025641025641</v>
      </c>
      <c r="J285" s="578"/>
      <c r="K285" s="574"/>
    </row>
    <row r="286" spans="1:11" s="356" customFormat="1" ht="9" customHeight="1">
      <c r="A286" s="386"/>
      <c r="B286" s="12"/>
      <c r="C286" s="194"/>
      <c r="D286" s="18"/>
      <c r="E286" s="328"/>
      <c r="F286" s="388"/>
      <c r="G286" s="361"/>
      <c r="H286" s="362"/>
      <c r="I286" s="168"/>
      <c r="J286" s="578"/>
      <c r="K286" s="574"/>
    </row>
    <row r="287" spans="1:11" s="356" customFormat="1" ht="12.75">
      <c r="A287" s="386"/>
      <c r="B287" s="12">
        <v>90020</v>
      </c>
      <c r="C287" s="177"/>
      <c r="D287" s="357" t="s">
        <v>197</v>
      </c>
      <c r="E287" s="328"/>
      <c r="F287" s="327"/>
      <c r="G287" s="265"/>
      <c r="H287" s="266"/>
      <c r="I287" s="168"/>
      <c r="J287" s="578"/>
      <c r="K287" s="574"/>
    </row>
    <row r="288" spans="1:11" s="356" customFormat="1" ht="12.75">
      <c r="A288" s="386"/>
      <c r="B288" s="12"/>
      <c r="C288" s="176"/>
      <c r="D288" s="329" t="s">
        <v>198</v>
      </c>
      <c r="E288" s="301">
        <f>SUM(E289)</f>
        <v>50000</v>
      </c>
      <c r="F288" s="298">
        <f>SUM(F289)</f>
        <v>28453.17</v>
      </c>
      <c r="G288" s="360">
        <f>SUM(G289)</f>
        <v>28453.17</v>
      </c>
      <c r="H288" s="298">
        <f>SUM(H289)</f>
        <v>0</v>
      </c>
      <c r="I288" s="167">
        <f>SUM(F288/E288)</f>
        <v>0.5690634</v>
      </c>
      <c r="J288" s="578"/>
      <c r="K288" s="574"/>
    </row>
    <row r="289" spans="1:11" s="356" customFormat="1" ht="25.5" customHeight="1">
      <c r="A289" s="389"/>
      <c r="B289" s="13"/>
      <c r="C289" s="183" t="s">
        <v>199</v>
      </c>
      <c r="D289" s="14" t="s">
        <v>200</v>
      </c>
      <c r="E289" s="383">
        <v>50000</v>
      </c>
      <c r="F289" s="298">
        <f>SUM(G289:H289)</f>
        <v>28453.17</v>
      </c>
      <c r="G289" s="363">
        <v>28453.17</v>
      </c>
      <c r="H289" s="364"/>
      <c r="I289" s="167">
        <f>SUM(F289/E289)</f>
        <v>0.5690634</v>
      </c>
      <c r="J289" s="578"/>
      <c r="K289" s="574"/>
    </row>
    <row r="290" spans="1:11" s="356" customFormat="1" ht="14.25" customHeight="1">
      <c r="A290" s="386"/>
      <c r="B290" s="12"/>
      <c r="C290" s="177"/>
      <c r="D290" s="357"/>
      <c r="E290" s="499"/>
      <c r="F290" s="374"/>
      <c r="G290" s="374"/>
      <c r="H290" s="346"/>
      <c r="I290" s="168"/>
      <c r="J290" s="578"/>
      <c r="K290" s="574"/>
    </row>
    <row r="291" spans="1:11" s="356" customFormat="1" ht="14.25" customHeight="1">
      <c r="A291" s="386"/>
      <c r="B291" s="12">
        <v>90095</v>
      </c>
      <c r="C291" s="176"/>
      <c r="D291" s="329" t="s">
        <v>110</v>
      </c>
      <c r="E291" s="419">
        <f>SUM(E292:E304)-E302</f>
        <v>3091356</v>
      </c>
      <c r="F291" s="360">
        <f>SUM(F292:F304)-F302</f>
        <v>2079016.36</v>
      </c>
      <c r="G291" s="360">
        <f>SUM(G292:G304)-G302</f>
        <v>1907293.21</v>
      </c>
      <c r="H291" s="360">
        <f>SUM(H292:H304)-H302</f>
        <v>171723.15</v>
      </c>
      <c r="I291" s="167">
        <f aca="true" t="shared" si="11" ref="I291:I304">SUM(F291/E291)</f>
        <v>0.6725257006957465</v>
      </c>
      <c r="J291" s="578"/>
      <c r="K291" s="574"/>
    </row>
    <row r="292" spans="1:11" s="356" customFormat="1" ht="25.5" customHeight="1">
      <c r="A292" s="386"/>
      <c r="B292" s="12"/>
      <c r="C292" s="196" t="s">
        <v>93</v>
      </c>
      <c r="D292" s="17" t="s">
        <v>94</v>
      </c>
      <c r="E292" s="301">
        <v>766000</v>
      </c>
      <c r="F292" s="384">
        <f aca="true" t="shared" si="12" ref="F292:F304">SUM(G292:H292)</f>
        <v>853973.83</v>
      </c>
      <c r="G292" s="375">
        <v>853973.83</v>
      </c>
      <c r="H292" s="420"/>
      <c r="I292" s="167">
        <f t="shared" si="11"/>
        <v>1.1148483420365534</v>
      </c>
      <c r="J292" s="578"/>
      <c r="K292" s="574"/>
    </row>
    <row r="293" spans="1:11" s="356" customFormat="1" ht="34.5" customHeight="1">
      <c r="A293" s="386"/>
      <c r="B293" s="12"/>
      <c r="C293" s="196" t="s">
        <v>161</v>
      </c>
      <c r="D293" s="17" t="s">
        <v>162</v>
      </c>
      <c r="E293" s="301">
        <v>126000</v>
      </c>
      <c r="F293" s="384">
        <f t="shared" si="12"/>
        <v>101486.72</v>
      </c>
      <c r="G293" s="375">
        <v>101486.72</v>
      </c>
      <c r="H293" s="421"/>
      <c r="I293" s="167">
        <f t="shared" si="11"/>
        <v>0.8054501587301588</v>
      </c>
      <c r="J293" s="578"/>
      <c r="K293" s="574"/>
    </row>
    <row r="294" spans="1:11" s="356" customFormat="1" ht="26.25" customHeight="1">
      <c r="A294" s="386"/>
      <c r="B294" s="12"/>
      <c r="C294" s="196" t="s">
        <v>136</v>
      </c>
      <c r="D294" s="17" t="s">
        <v>137</v>
      </c>
      <c r="E294" s="301">
        <v>0</v>
      </c>
      <c r="F294" s="384">
        <f t="shared" si="12"/>
        <v>423.66</v>
      </c>
      <c r="G294" s="265">
        <v>423.66</v>
      </c>
      <c r="H294" s="346"/>
      <c r="I294" s="167"/>
      <c r="J294" s="578"/>
      <c r="K294" s="574"/>
    </row>
    <row r="295" spans="1:11" s="356" customFormat="1" ht="45" customHeight="1">
      <c r="A295" s="386"/>
      <c r="B295" s="12"/>
      <c r="C295" s="196" t="s">
        <v>182</v>
      </c>
      <c r="D295" s="17" t="s">
        <v>183</v>
      </c>
      <c r="E295" s="301">
        <v>931366</v>
      </c>
      <c r="F295" s="384">
        <f t="shared" si="12"/>
        <v>802894.22</v>
      </c>
      <c r="G295" s="375">
        <v>802894.22</v>
      </c>
      <c r="H295" s="565"/>
      <c r="I295" s="167">
        <f t="shared" si="11"/>
        <v>0.8620609083861769</v>
      </c>
      <c r="J295" s="578"/>
      <c r="K295" s="574"/>
    </row>
    <row r="296" spans="1:11" s="356" customFormat="1" ht="33.75" customHeight="1">
      <c r="A296" s="386"/>
      <c r="B296" s="12"/>
      <c r="C296" s="196" t="s">
        <v>95</v>
      </c>
      <c r="D296" s="14" t="s">
        <v>96</v>
      </c>
      <c r="E296" s="301">
        <v>13000</v>
      </c>
      <c r="F296" s="360">
        <f t="shared" si="12"/>
        <v>10919.37</v>
      </c>
      <c r="G296" s="375"/>
      <c r="H296" s="565">
        <v>10919.37</v>
      </c>
      <c r="I296" s="167">
        <f t="shared" si="11"/>
        <v>0.8399515384615385</v>
      </c>
      <c r="J296" s="578"/>
      <c r="K296" s="574"/>
    </row>
    <row r="297" spans="1:11" s="356" customFormat="1" ht="33.75" customHeight="1">
      <c r="A297" s="386"/>
      <c r="B297" s="12"/>
      <c r="C297" s="189" t="s">
        <v>97</v>
      </c>
      <c r="D297" s="17" t="s">
        <v>98</v>
      </c>
      <c r="E297" s="301">
        <v>371000</v>
      </c>
      <c r="F297" s="360">
        <f t="shared" si="12"/>
        <v>160803.78</v>
      </c>
      <c r="G297" s="265"/>
      <c r="H297" s="347">
        <v>160803.78</v>
      </c>
      <c r="I297" s="167">
        <f t="shared" si="11"/>
        <v>0.4334333692722372</v>
      </c>
      <c r="J297" s="578"/>
      <c r="K297" s="574"/>
    </row>
    <row r="298" spans="1:11" s="356" customFormat="1" ht="25.5" customHeight="1">
      <c r="A298" s="386"/>
      <c r="B298" s="12"/>
      <c r="C298" s="189" t="s">
        <v>189</v>
      </c>
      <c r="D298" s="37" t="s">
        <v>190</v>
      </c>
      <c r="E298" s="301">
        <v>7000</v>
      </c>
      <c r="F298" s="360">
        <f t="shared" si="12"/>
        <v>2389</v>
      </c>
      <c r="G298" s="375">
        <v>2389</v>
      </c>
      <c r="H298" s="420"/>
      <c r="I298" s="167">
        <f t="shared" si="11"/>
        <v>0.3412857142857143</v>
      </c>
      <c r="J298" s="578"/>
      <c r="K298" s="574"/>
    </row>
    <row r="299" spans="1:11" s="356" customFormat="1" ht="25.5" customHeight="1">
      <c r="A299" s="386"/>
      <c r="B299" s="12"/>
      <c r="C299" s="196" t="s">
        <v>99</v>
      </c>
      <c r="D299" s="17" t="s">
        <v>100</v>
      </c>
      <c r="E299" s="301">
        <v>39000</v>
      </c>
      <c r="F299" s="360">
        <f t="shared" si="12"/>
        <v>32694.11</v>
      </c>
      <c r="G299" s="375">
        <v>32694.11</v>
      </c>
      <c r="H299" s="420"/>
      <c r="I299" s="167">
        <f t="shared" si="11"/>
        <v>0.8383105128205128</v>
      </c>
      <c r="J299" s="578"/>
      <c r="K299" s="574"/>
    </row>
    <row r="300" spans="1:11" s="356" customFormat="1" ht="25.5" customHeight="1">
      <c r="A300" s="386"/>
      <c r="B300" s="12"/>
      <c r="C300" s="187" t="s">
        <v>101</v>
      </c>
      <c r="D300" s="17" t="s">
        <v>102</v>
      </c>
      <c r="E300" s="301">
        <v>12990</v>
      </c>
      <c r="F300" s="360">
        <f t="shared" si="12"/>
        <v>28781.67</v>
      </c>
      <c r="G300" s="265">
        <v>28781.67</v>
      </c>
      <c r="H300" s="346"/>
      <c r="I300" s="167">
        <f t="shared" si="11"/>
        <v>2.215678983833718</v>
      </c>
      <c r="J300" s="578"/>
      <c r="K300" s="574"/>
    </row>
    <row r="301" spans="1:11" s="356" customFormat="1" ht="25.5" customHeight="1" thickBot="1">
      <c r="A301" s="1251"/>
      <c r="B301" s="435"/>
      <c r="C301" s="1287" t="s">
        <v>196</v>
      </c>
      <c r="D301" s="1253" t="s">
        <v>194</v>
      </c>
      <c r="E301" s="1274">
        <v>210000</v>
      </c>
      <c r="F301" s="1275">
        <f t="shared" si="12"/>
        <v>84650</v>
      </c>
      <c r="G301" s="1256">
        <v>84650</v>
      </c>
      <c r="H301" s="1288"/>
      <c r="I301" s="1258">
        <f t="shared" si="11"/>
        <v>0.4030952380952381</v>
      </c>
      <c r="J301" s="578"/>
      <c r="K301" s="574"/>
    </row>
    <row r="302" spans="1:11" s="296" customFormat="1" ht="14.25" customHeight="1">
      <c r="A302" s="1270">
        <v>1</v>
      </c>
      <c r="B302" s="1260">
        <v>2</v>
      </c>
      <c r="C302" s="1271">
        <v>3</v>
      </c>
      <c r="D302" s="1260">
        <v>4</v>
      </c>
      <c r="E302" s="1271">
        <v>5</v>
      </c>
      <c r="F302" s="1272">
        <v>6</v>
      </c>
      <c r="G302" s="1262">
        <v>7</v>
      </c>
      <c r="H302" s="1272">
        <v>8</v>
      </c>
      <c r="I302" s="1264">
        <v>9</v>
      </c>
      <c r="J302" s="578"/>
      <c r="K302" s="569"/>
    </row>
    <row r="303" spans="1:11" s="356" customFormat="1" ht="25.5" customHeight="1" hidden="1">
      <c r="A303" s="386"/>
      <c r="B303" s="12"/>
      <c r="C303" s="187" t="s">
        <v>356</v>
      </c>
      <c r="D303" s="17" t="s">
        <v>357</v>
      </c>
      <c r="E303" s="525">
        <v>0</v>
      </c>
      <c r="F303" s="360">
        <f>SUM(G303:H303)</f>
        <v>0</v>
      </c>
      <c r="G303" s="375"/>
      <c r="H303" s="565">
        <v>0</v>
      </c>
      <c r="I303" s="167" t="e">
        <f>SUM(F303/E303)</f>
        <v>#DIV/0!</v>
      </c>
      <c r="J303" s="578"/>
      <c r="K303" s="574"/>
    </row>
    <row r="304" spans="1:11" s="356" customFormat="1" ht="45.75" customHeight="1" thickBot="1">
      <c r="A304" s="391"/>
      <c r="B304" s="378"/>
      <c r="C304" s="197">
        <v>6260</v>
      </c>
      <c r="D304" s="26" t="s">
        <v>88</v>
      </c>
      <c r="E304" s="534">
        <f>515000+100000</f>
        <v>615000</v>
      </c>
      <c r="F304" s="551">
        <f t="shared" si="12"/>
        <v>0</v>
      </c>
      <c r="G304" s="557"/>
      <c r="H304" s="1250">
        <v>0</v>
      </c>
      <c r="I304" s="170">
        <f t="shared" si="11"/>
        <v>0</v>
      </c>
      <c r="J304" s="578"/>
      <c r="K304" s="574"/>
    </row>
    <row r="305" spans="1:11" s="356" customFormat="1" ht="14.25" customHeight="1" thickTop="1">
      <c r="A305" s="386"/>
      <c r="B305" s="12"/>
      <c r="C305" s="177"/>
      <c r="D305" s="357"/>
      <c r="E305" s="501"/>
      <c r="F305" s="370"/>
      <c r="G305" s="374"/>
      <c r="H305" s="346"/>
      <c r="I305" s="168"/>
      <c r="J305" s="574"/>
      <c r="K305" s="574"/>
    </row>
    <row r="306" spans="1:11" s="356" customFormat="1" ht="13.5" customHeight="1">
      <c r="A306" s="386">
        <v>921</v>
      </c>
      <c r="B306" s="13"/>
      <c r="C306" s="176"/>
      <c r="D306" s="329" t="s">
        <v>81</v>
      </c>
      <c r="E306" s="419">
        <f>SUM(E308)+E312</f>
        <v>251360</v>
      </c>
      <c r="F306" s="298">
        <f>SUM(F308)+F312</f>
        <v>1360.0500000000002</v>
      </c>
      <c r="G306" s="298">
        <f>SUM(G308)+G312</f>
        <v>1360.0500000000002</v>
      </c>
      <c r="H306" s="360">
        <f>SUM(H308)+H312</f>
        <v>0</v>
      </c>
      <c r="I306" s="167">
        <f>SUM(F306/E306)</f>
        <v>0.0054107654360280085</v>
      </c>
      <c r="J306" s="574"/>
      <c r="K306" s="574"/>
    </row>
    <row r="307" spans="1:11" s="356" customFormat="1" ht="14.25" customHeight="1">
      <c r="A307" s="386"/>
      <c r="B307" s="12"/>
      <c r="C307" s="177"/>
      <c r="D307" s="357"/>
      <c r="E307" s="501"/>
      <c r="F307" s="370"/>
      <c r="G307" s="370"/>
      <c r="H307" s="502"/>
      <c r="I307" s="168"/>
      <c r="J307" s="574"/>
      <c r="K307" s="574"/>
    </row>
    <row r="308" spans="1:11" s="356" customFormat="1" ht="14.25" customHeight="1">
      <c r="A308" s="386"/>
      <c r="B308" s="12">
        <v>92109</v>
      </c>
      <c r="C308" s="176"/>
      <c r="D308" s="329" t="s">
        <v>201</v>
      </c>
      <c r="E308" s="369">
        <f>E309+E310</f>
        <v>250497</v>
      </c>
      <c r="F308" s="360">
        <f>F309+F310</f>
        <v>496.6</v>
      </c>
      <c r="G308" s="360">
        <f>G309+G310</f>
        <v>496.6</v>
      </c>
      <c r="H308" s="360">
        <f>H309+H310</f>
        <v>0</v>
      </c>
      <c r="I308" s="167">
        <f>SUM(F308/E308)</f>
        <v>0.0019824588717629356</v>
      </c>
      <c r="J308" s="574"/>
      <c r="K308" s="574"/>
    </row>
    <row r="309" spans="1:11" s="356" customFormat="1" ht="26.25" customHeight="1">
      <c r="A309" s="386"/>
      <c r="B309" s="12"/>
      <c r="C309" s="187" t="s">
        <v>101</v>
      </c>
      <c r="D309" s="17" t="s">
        <v>102</v>
      </c>
      <c r="E309" s="383">
        <v>497</v>
      </c>
      <c r="F309" s="384">
        <f>SUM(G309:H309)</f>
        <v>496.6</v>
      </c>
      <c r="G309" s="384">
        <v>496.6</v>
      </c>
      <c r="H309" s="566"/>
      <c r="I309" s="171">
        <f>SUM(F309/E309)</f>
        <v>0.999195171026157</v>
      </c>
      <c r="J309" s="574"/>
      <c r="K309" s="574"/>
    </row>
    <row r="310" spans="1:11" s="356" customFormat="1" ht="29.25" customHeight="1">
      <c r="A310" s="389"/>
      <c r="B310" s="40"/>
      <c r="C310" s="176">
        <v>6208</v>
      </c>
      <c r="D310" s="14" t="s">
        <v>357</v>
      </c>
      <c r="E310" s="301">
        <v>250000</v>
      </c>
      <c r="F310" s="360">
        <f>SUM(G310:H310)</f>
        <v>0</v>
      </c>
      <c r="G310" s="363"/>
      <c r="H310" s="476">
        <v>0</v>
      </c>
      <c r="I310" s="167">
        <f>SUM(F310/E310)</f>
        <v>0</v>
      </c>
      <c r="J310" s="574"/>
      <c r="K310" s="574"/>
    </row>
    <row r="311" spans="1:11" s="356" customFormat="1" ht="14.25" customHeight="1">
      <c r="A311" s="386"/>
      <c r="B311" s="139"/>
      <c r="C311" s="182"/>
      <c r="D311" s="357"/>
      <c r="E311" s="422"/>
      <c r="F311" s="381"/>
      <c r="G311" s="381"/>
      <c r="H311" s="423"/>
      <c r="I311" s="168"/>
      <c r="J311" s="574"/>
      <c r="K311" s="574"/>
    </row>
    <row r="312" spans="1:11" s="356" customFormat="1" ht="14.25" customHeight="1">
      <c r="A312" s="386"/>
      <c r="B312" s="12">
        <v>92195</v>
      </c>
      <c r="C312" s="44"/>
      <c r="D312" s="329" t="s">
        <v>386</v>
      </c>
      <c r="E312" s="369">
        <f>SUM(E313:E314)</f>
        <v>863</v>
      </c>
      <c r="F312" s="360">
        <f>SUM(F313:F314)</f>
        <v>863.45</v>
      </c>
      <c r="G312" s="360">
        <f>SUM(G313:G314)</f>
        <v>863.45</v>
      </c>
      <c r="H312" s="360">
        <f>SUM(H313:H314)</f>
        <v>0</v>
      </c>
      <c r="I312" s="167">
        <f>SUM(F312/E312)</f>
        <v>1.000521436848204</v>
      </c>
      <c r="J312" s="574"/>
      <c r="K312" s="574"/>
    </row>
    <row r="313" spans="1:11" s="356" customFormat="1" ht="26.25" customHeight="1">
      <c r="A313" s="386"/>
      <c r="B313" s="12"/>
      <c r="C313" s="196" t="s">
        <v>99</v>
      </c>
      <c r="D313" s="17" t="s">
        <v>100</v>
      </c>
      <c r="E313" s="383">
        <v>53</v>
      </c>
      <c r="F313" s="384">
        <f>SUM(G313:H313)</f>
        <v>53</v>
      </c>
      <c r="G313" s="384">
        <v>53</v>
      </c>
      <c r="H313" s="503"/>
      <c r="I313" s="167">
        <f>SUM(F313/E313)</f>
        <v>1</v>
      </c>
      <c r="J313" s="574"/>
      <c r="K313" s="574"/>
    </row>
    <row r="314" spans="1:11" s="294" customFormat="1" ht="30.75" customHeight="1" thickBot="1">
      <c r="A314" s="399"/>
      <c r="B314" s="400"/>
      <c r="C314" s="181">
        <v>2910</v>
      </c>
      <c r="D314" s="153" t="s">
        <v>346</v>
      </c>
      <c r="E314" s="530">
        <v>810</v>
      </c>
      <c r="F314" s="552">
        <f>SUM(G314:H314)</f>
        <v>810.45</v>
      </c>
      <c r="G314" s="552">
        <v>810.45</v>
      </c>
      <c r="H314" s="401"/>
      <c r="I314" s="170">
        <f>SUM(F314/E314)</f>
        <v>1.0005555555555556</v>
      </c>
      <c r="J314" s="568"/>
      <c r="K314" s="568"/>
    </row>
    <row r="315" spans="1:11" s="356" customFormat="1" ht="13.5" thickTop="1">
      <c r="A315" s="386"/>
      <c r="B315" s="12"/>
      <c r="C315" s="198"/>
      <c r="D315" s="18"/>
      <c r="E315" s="422"/>
      <c r="F315" s="504"/>
      <c r="G315" s="505"/>
      <c r="H315" s="505"/>
      <c r="I315" s="168"/>
      <c r="J315" s="574"/>
      <c r="K315" s="574"/>
    </row>
    <row r="316" spans="1:11" s="356" customFormat="1" ht="14.25" customHeight="1">
      <c r="A316" s="386">
        <v>926</v>
      </c>
      <c r="B316" s="355"/>
      <c r="C316" s="176"/>
      <c r="D316" s="329" t="s">
        <v>82</v>
      </c>
      <c r="E316" s="419">
        <f>SUM(E321+E327)+E317</f>
        <v>1745563</v>
      </c>
      <c r="F316" s="360">
        <f>SUM(F321+F327)+F317</f>
        <v>935687.3300000001</v>
      </c>
      <c r="G316" s="360">
        <f>SUM(G321+G327)+G317</f>
        <v>140329.23</v>
      </c>
      <c r="H316" s="360">
        <f>SUM(H321+H327)+H317</f>
        <v>795358.1</v>
      </c>
      <c r="I316" s="167">
        <f>SUM(F316/E316)</f>
        <v>0.5360375592287417</v>
      </c>
      <c r="J316" s="574"/>
      <c r="K316" s="574"/>
    </row>
    <row r="317" spans="1:11" s="356" customFormat="1" ht="27" customHeight="1">
      <c r="A317" s="386"/>
      <c r="B317" s="12">
        <v>92601</v>
      </c>
      <c r="C317" s="176"/>
      <c r="D317" s="329" t="s">
        <v>363</v>
      </c>
      <c r="E317" s="419">
        <f>E318+E319</f>
        <v>1332000</v>
      </c>
      <c r="F317" s="384">
        <f>F318+F319</f>
        <v>666000</v>
      </c>
      <c r="G317" s="384">
        <f>G318+G319</f>
        <v>0</v>
      </c>
      <c r="H317" s="384">
        <f>H318+H319</f>
        <v>666000</v>
      </c>
      <c r="I317" s="167">
        <f>SUM(F317/E317)</f>
        <v>0.5</v>
      </c>
      <c r="J317" s="574"/>
      <c r="K317" s="574"/>
    </row>
    <row r="318" spans="1:11" s="356" customFormat="1" ht="38.25">
      <c r="A318" s="386"/>
      <c r="B318" s="12"/>
      <c r="C318" s="193">
        <v>6300</v>
      </c>
      <c r="D318" s="17" t="s">
        <v>364</v>
      </c>
      <c r="E318" s="383">
        <v>666000</v>
      </c>
      <c r="F318" s="384">
        <f>SUM(G318:H318)</f>
        <v>666000</v>
      </c>
      <c r="G318" s="384"/>
      <c r="H318" s="1226">
        <v>666000</v>
      </c>
      <c r="I318" s="171">
        <f>SUM(F318/E318)</f>
        <v>1</v>
      </c>
      <c r="J318" s="574"/>
      <c r="K318" s="574"/>
    </row>
    <row r="319" spans="1:11" s="356" customFormat="1" ht="30.75" customHeight="1">
      <c r="A319" s="389"/>
      <c r="B319" s="13"/>
      <c r="C319" s="176">
        <v>6330</v>
      </c>
      <c r="D319" s="14" t="s">
        <v>365</v>
      </c>
      <c r="E319" s="301">
        <v>666000</v>
      </c>
      <c r="F319" s="360">
        <f>SUM(G319:H319)</f>
        <v>0</v>
      </c>
      <c r="G319" s="360">
        <v>0</v>
      </c>
      <c r="H319" s="424"/>
      <c r="I319" s="167">
        <f>SUM(F319/E319)</f>
        <v>0</v>
      </c>
      <c r="J319" s="574"/>
      <c r="K319" s="574"/>
    </row>
    <row r="320" spans="1:11" s="356" customFormat="1" ht="14.25" customHeight="1">
      <c r="A320" s="386"/>
      <c r="B320" s="12"/>
      <c r="C320" s="177"/>
      <c r="D320" s="357"/>
      <c r="E320" s="422"/>
      <c r="F320" s="370"/>
      <c r="G320" s="370"/>
      <c r="H320" s="502"/>
      <c r="I320" s="168"/>
      <c r="J320" s="574"/>
      <c r="K320" s="574"/>
    </row>
    <row r="321" spans="1:11" s="356" customFormat="1" ht="14.25" customHeight="1">
      <c r="A321" s="386"/>
      <c r="B321" s="12">
        <v>92604</v>
      </c>
      <c r="C321" s="176"/>
      <c r="D321" s="329" t="s">
        <v>202</v>
      </c>
      <c r="E321" s="369">
        <f>E322+E323+E324+E325</f>
        <v>411135</v>
      </c>
      <c r="F321" s="491">
        <f>F322+F323+F324+F325</f>
        <v>267259.72000000003</v>
      </c>
      <c r="G321" s="360">
        <f>G322+G323+G324+G325</f>
        <v>137901.62000000002</v>
      </c>
      <c r="H321" s="491">
        <f>H322+H323+H324+H325</f>
        <v>129358.1</v>
      </c>
      <c r="I321" s="167">
        <f>SUM(F321/E321)</f>
        <v>0.6500534374353923</v>
      </c>
      <c r="J321" s="574"/>
      <c r="K321" s="574"/>
    </row>
    <row r="322" spans="1:11" s="356" customFormat="1" ht="30.75" customHeight="1">
      <c r="A322" s="386"/>
      <c r="B322" s="12"/>
      <c r="C322" s="176">
        <v>2440</v>
      </c>
      <c r="D322" s="14" t="s">
        <v>194</v>
      </c>
      <c r="E322" s="301">
        <v>60000</v>
      </c>
      <c r="F322" s="360">
        <f>SUM(G322:H322)</f>
        <v>38600.01</v>
      </c>
      <c r="G322" s="360">
        <v>38600.01</v>
      </c>
      <c r="H322" s="424"/>
      <c r="I322" s="167">
        <f>SUM(F322/E322)</f>
        <v>0.6433335</v>
      </c>
      <c r="J322" s="574"/>
      <c r="K322" s="574"/>
    </row>
    <row r="323" spans="1:11" s="356" customFormat="1" ht="36.75" customHeight="1">
      <c r="A323" s="386"/>
      <c r="B323" s="12"/>
      <c r="C323" s="176">
        <v>2708</v>
      </c>
      <c r="D323" s="17" t="s">
        <v>109</v>
      </c>
      <c r="E323" s="383">
        <v>89764</v>
      </c>
      <c r="F323" s="360">
        <f>SUM(G323:H323)</f>
        <v>87619.07</v>
      </c>
      <c r="G323" s="360">
        <v>87619.07</v>
      </c>
      <c r="H323" s="424"/>
      <c r="I323" s="167">
        <f>SUM(F323/E323)</f>
        <v>0.9761047858829821</v>
      </c>
      <c r="J323" s="574"/>
      <c r="K323" s="574"/>
    </row>
    <row r="324" spans="1:11" s="356" customFormat="1" ht="45.75" customHeight="1">
      <c r="A324" s="386"/>
      <c r="B324" s="12"/>
      <c r="C324" s="176">
        <v>2709</v>
      </c>
      <c r="D324" s="17" t="s">
        <v>109</v>
      </c>
      <c r="E324" s="383">
        <v>11969</v>
      </c>
      <c r="F324" s="360">
        <f>SUM(G324:H324)</f>
        <v>11682.54</v>
      </c>
      <c r="G324" s="360">
        <v>11682.54</v>
      </c>
      <c r="H324" s="424"/>
      <c r="I324" s="167">
        <f>SUM(F324/E324)</f>
        <v>0.976066505138274</v>
      </c>
      <c r="J324" s="574"/>
      <c r="K324" s="574"/>
    </row>
    <row r="325" spans="1:11" s="356" customFormat="1" ht="45.75" customHeight="1">
      <c r="A325" s="386"/>
      <c r="B325" s="12"/>
      <c r="C325" s="193">
        <v>6260</v>
      </c>
      <c r="D325" s="17" t="s">
        <v>88</v>
      </c>
      <c r="E325" s="383">
        <f>219402+30000</f>
        <v>249402</v>
      </c>
      <c r="F325" s="360">
        <f>SUM(G325:H325)</f>
        <v>129358.1</v>
      </c>
      <c r="G325" s="375"/>
      <c r="H325" s="565">
        <v>129358.1</v>
      </c>
      <c r="I325" s="171">
        <f>SUM(F325/E325)</f>
        <v>0.5186730659738094</v>
      </c>
      <c r="J325" s="574"/>
      <c r="K325" s="574"/>
    </row>
    <row r="326" spans="1:11" s="356" customFormat="1" ht="14.25" customHeight="1">
      <c r="A326" s="386"/>
      <c r="B326" s="139"/>
      <c r="C326" s="177"/>
      <c r="D326" s="357"/>
      <c r="E326" s="535"/>
      <c r="F326" s="425"/>
      <c r="G326" s="425"/>
      <c r="H326" s="426"/>
      <c r="I326" s="168"/>
      <c r="J326" s="574"/>
      <c r="K326" s="574"/>
    </row>
    <row r="327" spans="1:11" s="294" customFormat="1" ht="14.25" customHeight="1">
      <c r="A327" s="302"/>
      <c r="B327" s="372">
        <v>92605</v>
      </c>
      <c r="C327" s="199"/>
      <c r="D327" s="145" t="s">
        <v>329</v>
      </c>
      <c r="E327" s="427">
        <f>SUM(E328:E329)</f>
        <v>2428</v>
      </c>
      <c r="F327" s="323">
        <f>SUM(F328:F329)</f>
        <v>2427.61</v>
      </c>
      <c r="G327" s="323">
        <f>SUM(G328:G329)</f>
        <v>2427.61</v>
      </c>
      <c r="H327" s="396">
        <f>SUM(H328:H329)</f>
        <v>0</v>
      </c>
      <c r="I327" s="167">
        <f>SUM(F327/E327)</f>
        <v>0.9998393739703461</v>
      </c>
      <c r="J327" s="568"/>
      <c r="K327" s="568"/>
    </row>
    <row r="328" spans="1:11" s="356" customFormat="1" ht="25.5" customHeight="1">
      <c r="A328" s="386"/>
      <c r="B328" s="12"/>
      <c r="C328" s="196" t="s">
        <v>99</v>
      </c>
      <c r="D328" s="17" t="s">
        <v>100</v>
      </c>
      <c r="E328" s="301">
        <v>126</v>
      </c>
      <c r="F328" s="360">
        <f>SUM(G328:H328)</f>
        <v>125.96</v>
      </c>
      <c r="G328" s="375">
        <v>125.96</v>
      </c>
      <c r="H328" s="420"/>
      <c r="I328" s="167">
        <f>SUM(F328/E328)</f>
        <v>0.9996825396825396</v>
      </c>
      <c r="J328" s="574"/>
      <c r="K328" s="574"/>
    </row>
    <row r="329" spans="1:11" s="294" customFormat="1" ht="30.75" customHeight="1" thickBot="1">
      <c r="A329" s="302"/>
      <c r="B329" s="372"/>
      <c r="C329" s="200">
        <v>2910</v>
      </c>
      <c r="D329" s="155" t="s">
        <v>346</v>
      </c>
      <c r="E329" s="382">
        <v>2302</v>
      </c>
      <c r="F329" s="330">
        <f>SUM(G329:H329)</f>
        <v>2301.65</v>
      </c>
      <c r="G329" s="330">
        <v>2301.65</v>
      </c>
      <c r="H329" s="398"/>
      <c r="I329" s="168">
        <f>SUM(F329/E329)</f>
        <v>0.999847958297133</v>
      </c>
      <c r="J329" s="568"/>
      <c r="K329" s="568"/>
    </row>
    <row r="330" spans="1:9" ht="14.25" customHeight="1">
      <c r="A330" s="428"/>
      <c r="B330" s="429"/>
      <c r="C330" s="201"/>
      <c r="D330" s="430"/>
      <c r="E330" s="431"/>
      <c r="F330" s="432"/>
      <c r="G330" s="338"/>
      <c r="H330" s="433"/>
      <c r="I330" s="169"/>
    </row>
    <row r="331" spans="1:11" s="437" customFormat="1" ht="14.25" customHeight="1" thickBot="1">
      <c r="A331" s="434"/>
      <c r="B331" s="435"/>
      <c r="C331" s="202"/>
      <c r="D331" s="436" t="s">
        <v>203</v>
      </c>
      <c r="E331" s="340">
        <f>SUM(E55+E59+E65+E70+E97+E118+E134+E184+E199+E227+E234+E255+E268+E306+E316)+E263+E88</f>
        <v>102227939</v>
      </c>
      <c r="F331" s="340">
        <f>SUM(F55+F59+F65+F70+F97+F118+F134+F184+F199+F227+F234+F255+F268+F306+F316)+F263+F88</f>
        <v>77922861.30999999</v>
      </c>
      <c r="G331" s="340">
        <f>SUM(G55+G59+G65+G70+G97+G118+G134+G184+G199+G227+G234+G255+G268+G306+G316)+G263+G88</f>
        <v>68130567.67999999</v>
      </c>
      <c r="H331" s="340">
        <f>SUM(H55+H59+H65+H70+H97+H118+H134+H184+H199+H227+H234+H255+H268+H306+H316)+H263+H88</f>
        <v>9792293.63</v>
      </c>
      <c r="I331" s="287">
        <f>F331/E331</f>
        <v>0.7622462320207785</v>
      </c>
      <c r="J331" s="470"/>
      <c r="K331" s="470"/>
    </row>
    <row r="332" spans="1:11" s="439" customFormat="1" ht="14.25" customHeight="1">
      <c r="A332" s="160"/>
      <c r="B332" s="182"/>
      <c r="C332" s="160"/>
      <c r="D332" s="343"/>
      <c r="E332" s="517"/>
      <c r="F332" s="344"/>
      <c r="G332" s="438"/>
      <c r="H332" s="438"/>
      <c r="I332" s="174"/>
      <c r="J332" s="579"/>
      <c r="K332" s="584"/>
    </row>
    <row r="333" spans="1:11" s="440" customFormat="1" ht="36" customHeight="1" thickBot="1">
      <c r="A333" s="1348" t="s">
        <v>396</v>
      </c>
      <c r="B333" s="1348"/>
      <c r="C333" s="1348"/>
      <c r="D333" s="1348"/>
      <c r="E333" s="1348"/>
      <c r="F333" s="1348"/>
      <c r="G333" s="1348"/>
      <c r="H333" s="1348"/>
      <c r="I333" s="1348"/>
      <c r="J333" s="580"/>
      <c r="K333" s="580"/>
    </row>
    <row r="334" spans="1:11" s="443" customFormat="1" ht="14.25" customHeight="1">
      <c r="A334" s="1349" t="s">
        <v>58</v>
      </c>
      <c r="B334" s="1351" t="s">
        <v>84</v>
      </c>
      <c r="C334" s="1351" t="s">
        <v>85</v>
      </c>
      <c r="D334" s="1351" t="s">
        <v>86</v>
      </c>
      <c r="E334" s="1374" t="s">
        <v>60</v>
      </c>
      <c r="F334" s="1355" t="s">
        <v>344</v>
      </c>
      <c r="G334" s="1357" t="s">
        <v>61</v>
      </c>
      <c r="H334" s="1358"/>
      <c r="I334" s="1359" t="s">
        <v>370</v>
      </c>
      <c r="J334" s="572"/>
      <c r="K334" s="572"/>
    </row>
    <row r="335" spans="1:11" s="444" customFormat="1" ht="12.75">
      <c r="A335" s="1350"/>
      <c r="B335" s="1352"/>
      <c r="C335" s="1352"/>
      <c r="D335" s="1352"/>
      <c r="E335" s="1376"/>
      <c r="F335" s="1356"/>
      <c r="G335" s="207" t="s">
        <v>62</v>
      </c>
      <c r="H335" s="208" t="s">
        <v>63</v>
      </c>
      <c r="I335" s="1360"/>
      <c r="J335" s="573"/>
      <c r="K335" s="573"/>
    </row>
    <row r="336" spans="1:11" s="296" customFormat="1" ht="12" thickBot="1">
      <c r="A336" s="295">
        <v>1</v>
      </c>
      <c r="B336" s="11">
        <v>2</v>
      </c>
      <c r="C336" s="11">
        <v>3</v>
      </c>
      <c r="D336" s="11">
        <v>4</v>
      </c>
      <c r="E336" s="445">
        <v>5</v>
      </c>
      <c r="F336" s="446">
        <v>6</v>
      </c>
      <c r="G336" s="353">
        <v>7</v>
      </c>
      <c r="H336" s="446">
        <v>8</v>
      </c>
      <c r="I336" s="447">
        <v>9</v>
      </c>
      <c r="J336" s="569"/>
      <c r="K336" s="569"/>
    </row>
    <row r="337" spans="1:11" s="356" customFormat="1" ht="12.75">
      <c r="A337" s="448"/>
      <c r="B337" s="449"/>
      <c r="C337" s="38"/>
      <c r="D337" s="449"/>
      <c r="E337" s="450"/>
      <c r="F337" s="451"/>
      <c r="G337" s="306"/>
      <c r="H337" s="266"/>
      <c r="I337" s="452"/>
      <c r="J337" s="574"/>
      <c r="K337" s="574"/>
    </row>
    <row r="338" spans="1:11" s="356" customFormat="1" ht="14.25" customHeight="1">
      <c r="A338" s="453" t="s">
        <v>264</v>
      </c>
      <c r="B338" s="355"/>
      <c r="C338" s="39"/>
      <c r="D338" s="329" t="s">
        <v>265</v>
      </c>
      <c r="E338" s="390">
        <f>SUM(E340)</f>
        <v>5403.31</v>
      </c>
      <c r="F338" s="390">
        <f>SUM(F340)</f>
        <v>5403.31</v>
      </c>
      <c r="G338" s="390">
        <f>SUM(G340)</f>
        <v>5403.31</v>
      </c>
      <c r="H338" s="390">
        <f>SUM(H340)</f>
        <v>0</v>
      </c>
      <c r="I338" s="167">
        <f>SUM(F338/E338)</f>
        <v>1</v>
      </c>
      <c r="J338" s="574"/>
      <c r="K338" s="574"/>
    </row>
    <row r="339" spans="1:11" s="356" customFormat="1" ht="9" customHeight="1">
      <c r="A339" s="386"/>
      <c r="B339" s="12"/>
      <c r="C339" s="40"/>
      <c r="D339" s="357"/>
      <c r="E339" s="266"/>
      <c r="F339" s="266"/>
      <c r="G339" s="265"/>
      <c r="H339" s="266"/>
      <c r="I339" s="168"/>
      <c r="J339" s="574"/>
      <c r="K339" s="574"/>
    </row>
    <row r="340" spans="1:11" s="356" customFormat="1" ht="14.25" customHeight="1">
      <c r="A340" s="386"/>
      <c r="B340" s="27" t="s">
        <v>290</v>
      </c>
      <c r="C340" s="154"/>
      <c r="D340" s="329" t="s">
        <v>110</v>
      </c>
      <c r="E340" s="390">
        <f>SUM(E344)</f>
        <v>5403.31</v>
      </c>
      <c r="F340" s="390">
        <f>SUM(F344)</f>
        <v>5403.31</v>
      </c>
      <c r="G340" s="363">
        <f>SUM(G344)</f>
        <v>5403.31</v>
      </c>
      <c r="H340" s="390">
        <f>SUM(H344)</f>
        <v>0</v>
      </c>
      <c r="I340" s="167">
        <f>SUM(F340/E340)</f>
        <v>1</v>
      </c>
      <c r="J340" s="574"/>
      <c r="K340" s="574"/>
    </row>
    <row r="341" spans="1:11" s="356" customFormat="1" ht="9" customHeight="1">
      <c r="A341" s="386"/>
      <c r="B341" s="27"/>
      <c r="C341" s="138"/>
      <c r="D341" s="357"/>
      <c r="E341" s="371"/>
      <c r="F341" s="371"/>
      <c r="G341" s="374"/>
      <c r="H341" s="371"/>
      <c r="I341" s="168"/>
      <c r="J341" s="574"/>
      <c r="K341" s="574"/>
    </row>
    <row r="342" spans="1:11" s="356" customFormat="1" ht="14.25" customHeight="1">
      <c r="A342" s="386"/>
      <c r="B342" s="27"/>
      <c r="C342" s="138">
        <v>2010</v>
      </c>
      <c r="D342" s="357" t="s">
        <v>204</v>
      </c>
      <c r="E342" s="371"/>
      <c r="F342" s="371"/>
      <c r="G342" s="374"/>
      <c r="H342" s="371"/>
      <c r="I342" s="168"/>
      <c r="J342" s="574"/>
      <c r="K342" s="574"/>
    </row>
    <row r="343" spans="1:11" s="356" customFormat="1" ht="14.25" customHeight="1">
      <c r="A343" s="386"/>
      <c r="B343" s="27"/>
      <c r="C343" s="138"/>
      <c r="D343" s="357" t="s">
        <v>205</v>
      </c>
      <c r="E343" s="371"/>
      <c r="F343" s="371"/>
      <c r="G343" s="374"/>
      <c r="H343" s="371"/>
      <c r="I343" s="168"/>
      <c r="J343" s="574"/>
      <c r="K343" s="574"/>
    </row>
    <row r="344" spans="1:11" s="356" customFormat="1" ht="14.25" customHeight="1" thickBot="1">
      <c r="A344" s="391"/>
      <c r="B344" s="378"/>
      <c r="C344" s="42"/>
      <c r="D344" s="454" t="s">
        <v>206</v>
      </c>
      <c r="E344" s="536">
        <v>5403.31</v>
      </c>
      <c r="F344" s="536">
        <f>SUM(G344:H344)</f>
        <v>5403.31</v>
      </c>
      <c r="G344" s="549">
        <v>5403.31</v>
      </c>
      <c r="H344" s="379"/>
      <c r="I344" s="170">
        <f>SUM(F344/E344)</f>
        <v>1</v>
      </c>
      <c r="J344" s="574"/>
      <c r="K344" s="574"/>
    </row>
    <row r="345" spans="1:11" s="356" customFormat="1" ht="13.5" thickTop="1">
      <c r="A345" s="448"/>
      <c r="B345" s="449"/>
      <c r="C345" s="38"/>
      <c r="D345" s="449"/>
      <c r="E345" s="537"/>
      <c r="F345" s="506"/>
      <c r="G345" s="455"/>
      <c r="H345" s="371"/>
      <c r="I345" s="452"/>
      <c r="J345" s="574"/>
      <c r="K345" s="574"/>
    </row>
    <row r="346" spans="1:11" s="356" customFormat="1" ht="14.25" customHeight="1">
      <c r="A346" s="386">
        <v>750</v>
      </c>
      <c r="B346" s="355"/>
      <c r="C346" s="39"/>
      <c r="D346" s="329" t="s">
        <v>67</v>
      </c>
      <c r="E346" s="403">
        <f>SUM(E348)</f>
        <v>297000</v>
      </c>
      <c r="F346" s="390">
        <f>SUM(F348)</f>
        <v>228582</v>
      </c>
      <c r="G346" s="363">
        <f>SUM(G348)</f>
        <v>228582</v>
      </c>
      <c r="H346" s="390">
        <f>SUM(H348)</f>
        <v>0</v>
      </c>
      <c r="I346" s="167">
        <f>SUM(F346/E346)</f>
        <v>0.7696363636363637</v>
      </c>
      <c r="J346" s="574"/>
      <c r="K346" s="574"/>
    </row>
    <row r="347" spans="1:11" s="356" customFormat="1" ht="9" customHeight="1">
      <c r="A347" s="386"/>
      <c r="B347" s="12"/>
      <c r="C347" s="40"/>
      <c r="D347" s="357"/>
      <c r="E347" s="286"/>
      <c r="F347" s="266"/>
      <c r="G347" s="265"/>
      <c r="H347" s="266"/>
      <c r="I347" s="168"/>
      <c r="J347" s="574"/>
      <c r="K347" s="574"/>
    </row>
    <row r="348" spans="1:11" s="356" customFormat="1" ht="14.25" customHeight="1">
      <c r="A348" s="386"/>
      <c r="B348" s="12">
        <v>75011</v>
      </c>
      <c r="C348" s="41"/>
      <c r="D348" s="329" t="s">
        <v>103</v>
      </c>
      <c r="E348" s="403">
        <f>SUM(E352)</f>
        <v>297000</v>
      </c>
      <c r="F348" s="390">
        <f>SUM(F352)</f>
        <v>228582</v>
      </c>
      <c r="G348" s="363">
        <f>SUM(G352)</f>
        <v>228582</v>
      </c>
      <c r="H348" s="390">
        <f>SUM(H352)</f>
        <v>0</v>
      </c>
      <c r="I348" s="167">
        <f>SUM(F348/E348)</f>
        <v>0.7696363636363637</v>
      </c>
      <c r="J348" s="574"/>
      <c r="K348" s="574"/>
    </row>
    <row r="349" spans="1:11" s="356" customFormat="1" ht="2.25" customHeight="1">
      <c r="A349" s="386"/>
      <c r="B349" s="12"/>
      <c r="C349" s="40"/>
      <c r="D349" s="357"/>
      <c r="E349" s="286"/>
      <c r="F349" s="371"/>
      <c r="G349" s="374"/>
      <c r="H349" s="371"/>
      <c r="I349" s="168"/>
      <c r="J349" s="574"/>
      <c r="K349" s="574"/>
    </row>
    <row r="350" spans="1:11" s="356" customFormat="1" ht="14.25" customHeight="1">
      <c r="A350" s="386"/>
      <c r="B350" s="12"/>
      <c r="C350" s="40">
        <v>2010</v>
      </c>
      <c r="D350" s="357" t="s">
        <v>204</v>
      </c>
      <c r="E350" s="286"/>
      <c r="F350" s="371"/>
      <c r="G350" s="374"/>
      <c r="H350" s="371"/>
      <c r="I350" s="168"/>
      <c r="J350" s="574"/>
      <c r="K350" s="574"/>
    </row>
    <row r="351" spans="1:11" s="356" customFormat="1" ht="14.25" customHeight="1">
      <c r="A351" s="386"/>
      <c r="B351" s="12"/>
      <c r="C351" s="40"/>
      <c r="D351" s="357" t="s">
        <v>205</v>
      </c>
      <c r="E351" s="286"/>
      <c r="F351" s="371"/>
      <c r="G351" s="374"/>
      <c r="H351" s="371"/>
      <c r="I351" s="168"/>
      <c r="J351" s="574"/>
      <c r="K351" s="574"/>
    </row>
    <row r="352" spans="1:11" s="356" customFormat="1" ht="14.25" customHeight="1" thickBot="1">
      <c r="A352" s="391"/>
      <c r="B352" s="378"/>
      <c r="C352" s="42"/>
      <c r="D352" s="454" t="s">
        <v>206</v>
      </c>
      <c r="E352" s="538">
        <v>297000</v>
      </c>
      <c r="F352" s="536">
        <f>SUM(G351:H352)</f>
        <v>228582</v>
      </c>
      <c r="G352" s="549">
        <v>228582</v>
      </c>
      <c r="H352" s="379"/>
      <c r="I352" s="170">
        <f>SUM(F352/E352)</f>
        <v>0.7696363636363637</v>
      </c>
      <c r="J352" s="574"/>
      <c r="K352" s="574"/>
    </row>
    <row r="353" spans="1:11" s="356" customFormat="1" ht="9" customHeight="1" thickTop="1">
      <c r="A353" s="386"/>
      <c r="B353" s="12"/>
      <c r="C353" s="40"/>
      <c r="D353" s="357"/>
      <c r="E353" s="286"/>
      <c r="F353" s="371"/>
      <c r="G353" s="374"/>
      <c r="H353" s="371"/>
      <c r="I353" s="168"/>
      <c r="J353" s="574"/>
      <c r="K353" s="574"/>
    </row>
    <row r="354" spans="1:11" s="356" customFormat="1" ht="14.25" customHeight="1">
      <c r="A354" s="386">
        <v>751</v>
      </c>
      <c r="B354" s="387"/>
      <c r="C354" s="38"/>
      <c r="D354" s="357" t="s">
        <v>207</v>
      </c>
      <c r="E354" s="286"/>
      <c r="F354" s="371"/>
      <c r="G354" s="374"/>
      <c r="H354" s="371"/>
      <c r="I354" s="168"/>
      <c r="J354" s="574"/>
      <c r="K354" s="574"/>
    </row>
    <row r="355" spans="1:11" s="356" customFormat="1" ht="14.25" customHeight="1">
      <c r="A355" s="386"/>
      <c r="B355" s="355"/>
      <c r="C355" s="39"/>
      <c r="D355" s="329" t="s">
        <v>69</v>
      </c>
      <c r="E355" s="403">
        <f>SUM(E358)</f>
        <v>6000</v>
      </c>
      <c r="F355" s="390">
        <f>SUM(F358)</f>
        <v>4500</v>
      </c>
      <c r="G355" s="363">
        <f>SUM(G358)</f>
        <v>4500</v>
      </c>
      <c r="H355" s="390">
        <f>SUM(H358)</f>
        <v>0</v>
      </c>
      <c r="I355" s="167">
        <f>SUM(F355/E355)</f>
        <v>0.75</v>
      </c>
      <c r="J355" s="574"/>
      <c r="K355" s="574"/>
    </row>
    <row r="356" spans="1:11" s="356" customFormat="1" ht="3.75" customHeight="1">
      <c r="A356" s="386"/>
      <c r="B356" s="12"/>
      <c r="C356" s="40"/>
      <c r="D356" s="357"/>
      <c r="E356" s="286"/>
      <c r="F356" s="266"/>
      <c r="G356" s="265"/>
      <c r="H356" s="266"/>
      <c r="I356" s="168"/>
      <c r="J356" s="574"/>
      <c r="K356" s="574"/>
    </row>
    <row r="357" spans="1:11" s="356" customFormat="1" ht="14.25" customHeight="1">
      <c r="A357" s="386"/>
      <c r="B357" s="12">
        <v>75101</v>
      </c>
      <c r="C357" s="40"/>
      <c r="D357" s="357" t="s">
        <v>208</v>
      </c>
      <c r="E357" s="286"/>
      <c r="F357" s="266"/>
      <c r="G357" s="265"/>
      <c r="H357" s="266"/>
      <c r="I357" s="168"/>
      <c r="J357" s="574"/>
      <c r="K357" s="574"/>
    </row>
    <row r="358" spans="1:11" s="356" customFormat="1" ht="14.25" customHeight="1">
      <c r="A358" s="386"/>
      <c r="B358" s="12"/>
      <c r="C358" s="41"/>
      <c r="D358" s="329" t="s">
        <v>209</v>
      </c>
      <c r="E358" s="403">
        <f>SUM(E362)</f>
        <v>6000</v>
      </c>
      <c r="F358" s="390">
        <f>SUM(F362)</f>
        <v>4500</v>
      </c>
      <c r="G358" s="363">
        <f>SUM(G362)</f>
        <v>4500</v>
      </c>
      <c r="H358" s="390">
        <f>SUM(H362)</f>
        <v>0</v>
      </c>
      <c r="I358" s="167">
        <f>SUM(F358/E358)</f>
        <v>0.75</v>
      </c>
      <c r="J358" s="574"/>
      <c r="K358" s="574"/>
    </row>
    <row r="359" spans="1:11" s="356" customFormat="1" ht="5.25" customHeight="1">
      <c r="A359" s="386"/>
      <c r="B359" s="12"/>
      <c r="C359" s="40"/>
      <c r="D359" s="357"/>
      <c r="E359" s="286"/>
      <c r="F359" s="371"/>
      <c r="G359" s="361"/>
      <c r="H359" s="362"/>
      <c r="I359" s="168"/>
      <c r="J359" s="574"/>
      <c r="K359" s="574"/>
    </row>
    <row r="360" spans="1:11" s="356" customFormat="1" ht="14.25" customHeight="1">
      <c r="A360" s="386"/>
      <c r="B360" s="12"/>
      <c r="C360" s="40">
        <v>2010</v>
      </c>
      <c r="D360" s="357" t="s">
        <v>204</v>
      </c>
      <c r="E360" s="286"/>
      <c r="F360" s="371"/>
      <c r="G360" s="374"/>
      <c r="H360" s="371"/>
      <c r="I360" s="168"/>
      <c r="J360" s="574"/>
      <c r="K360" s="574"/>
    </row>
    <row r="361" spans="1:11" s="356" customFormat="1" ht="14.25" customHeight="1">
      <c r="A361" s="386"/>
      <c r="B361" s="12"/>
      <c r="C361" s="40"/>
      <c r="D361" s="357" t="s">
        <v>205</v>
      </c>
      <c r="E361" s="286"/>
      <c r="F361" s="371"/>
      <c r="G361" s="374"/>
      <c r="H361" s="371"/>
      <c r="I361" s="168"/>
      <c r="J361" s="574"/>
      <c r="K361" s="574"/>
    </row>
    <row r="362" spans="1:11" s="356" customFormat="1" ht="14.25" customHeight="1" thickBot="1">
      <c r="A362" s="391"/>
      <c r="B362" s="378"/>
      <c r="C362" s="42"/>
      <c r="D362" s="454" t="s">
        <v>206</v>
      </c>
      <c r="E362" s="538">
        <v>6000</v>
      </c>
      <c r="F362" s="536">
        <f>SUM(G362:H362)</f>
        <v>4500</v>
      </c>
      <c r="G362" s="549">
        <v>4500</v>
      </c>
      <c r="H362" s="379"/>
      <c r="I362" s="170">
        <f>SUM(F362/E362)</f>
        <v>0.75</v>
      </c>
      <c r="J362" s="574"/>
      <c r="K362" s="574"/>
    </row>
    <row r="363" spans="1:11" s="356" customFormat="1" ht="10.5" customHeight="1" thickTop="1">
      <c r="A363" s="386"/>
      <c r="B363" s="357"/>
      <c r="C363" s="40"/>
      <c r="D363" s="357"/>
      <c r="E363" s="286"/>
      <c r="F363" s="371"/>
      <c r="G363" s="374"/>
      <c r="H363" s="371"/>
      <c r="I363" s="168"/>
      <c r="J363" s="574"/>
      <c r="K363" s="574"/>
    </row>
    <row r="364" spans="1:11" s="356" customFormat="1" ht="15" customHeight="1">
      <c r="A364" s="386">
        <v>851</v>
      </c>
      <c r="B364" s="329"/>
      <c r="C364" s="41"/>
      <c r="D364" s="329" t="s">
        <v>77</v>
      </c>
      <c r="E364" s="403">
        <f>SUM(E366,)</f>
        <v>2000</v>
      </c>
      <c r="F364" s="390">
        <f>SUM(F366,)</f>
        <v>1494</v>
      </c>
      <c r="G364" s="363">
        <f>SUM(G366,)</f>
        <v>1494</v>
      </c>
      <c r="H364" s="390">
        <f>SUM(H366,)</f>
        <v>0</v>
      </c>
      <c r="I364" s="167">
        <f>SUM(F364/E364)</f>
        <v>0.747</v>
      </c>
      <c r="J364" s="574"/>
      <c r="K364" s="574"/>
    </row>
    <row r="365" spans="1:11" s="356" customFormat="1" ht="3.75" customHeight="1">
      <c r="A365" s="386"/>
      <c r="B365" s="357"/>
      <c r="C365" s="40"/>
      <c r="D365" s="357"/>
      <c r="E365" s="286"/>
      <c r="F365" s="266"/>
      <c r="G365" s="265"/>
      <c r="H365" s="266"/>
      <c r="I365" s="168"/>
      <c r="J365" s="574"/>
      <c r="K365" s="574"/>
    </row>
    <row r="366" spans="1:11" s="356" customFormat="1" ht="20.25" customHeight="1">
      <c r="A366" s="386"/>
      <c r="B366" s="12">
        <v>85195</v>
      </c>
      <c r="C366" s="41"/>
      <c r="D366" s="329" t="s">
        <v>110</v>
      </c>
      <c r="E366" s="403">
        <f>SUM(E370,)</f>
        <v>2000</v>
      </c>
      <c r="F366" s="390">
        <f>SUM(F370,)</f>
        <v>1494</v>
      </c>
      <c r="G366" s="363">
        <f>SUM(G370,)</f>
        <v>1494</v>
      </c>
      <c r="H366" s="390">
        <f>SUM(H370,)</f>
        <v>0</v>
      </c>
      <c r="I366" s="167">
        <f>SUM(F366/E366)</f>
        <v>0.747</v>
      </c>
      <c r="J366" s="574"/>
      <c r="K366" s="574"/>
    </row>
    <row r="367" spans="1:11" s="356" customFormat="1" ht="6.75" customHeight="1">
      <c r="A367" s="386"/>
      <c r="B367" s="357"/>
      <c r="C367" s="40"/>
      <c r="D367" s="357"/>
      <c r="E367" s="286"/>
      <c r="F367" s="371"/>
      <c r="G367" s="374"/>
      <c r="H367" s="371"/>
      <c r="I367" s="168"/>
      <c r="J367" s="574"/>
      <c r="K367" s="574"/>
    </row>
    <row r="368" spans="1:11" s="356" customFormat="1" ht="11.25" customHeight="1">
      <c r="A368" s="386"/>
      <c r="B368" s="357"/>
      <c r="C368" s="40">
        <v>2010</v>
      </c>
      <c r="D368" s="357" t="s">
        <v>204</v>
      </c>
      <c r="E368" s="286"/>
      <c r="F368" s="371"/>
      <c r="G368" s="374"/>
      <c r="H368" s="371"/>
      <c r="I368" s="168"/>
      <c r="J368" s="574"/>
      <c r="K368" s="574"/>
    </row>
    <row r="369" spans="1:11" s="356" customFormat="1" ht="11.25" customHeight="1">
      <c r="A369" s="386"/>
      <c r="B369" s="357"/>
      <c r="C369" s="40"/>
      <c r="D369" s="357" t="s">
        <v>205</v>
      </c>
      <c r="E369" s="286"/>
      <c r="F369" s="371"/>
      <c r="G369" s="374"/>
      <c r="H369" s="371"/>
      <c r="I369" s="168"/>
      <c r="J369" s="574"/>
      <c r="K369" s="574"/>
    </row>
    <row r="370" spans="1:11" s="356" customFormat="1" ht="12.75" customHeight="1" thickBot="1">
      <c r="A370" s="391"/>
      <c r="B370" s="456"/>
      <c r="C370" s="43"/>
      <c r="D370" s="454" t="s">
        <v>206</v>
      </c>
      <c r="E370" s="538">
        <v>2000</v>
      </c>
      <c r="F370" s="536">
        <f>SUM(G370:H370)</f>
        <v>1494</v>
      </c>
      <c r="G370" s="549">
        <v>1494</v>
      </c>
      <c r="H370" s="379"/>
      <c r="I370" s="170">
        <f>SUM(F370/E370)</f>
        <v>0.747</v>
      </c>
      <c r="J370" s="574"/>
      <c r="K370" s="574"/>
    </row>
    <row r="371" spans="1:11" s="356" customFormat="1" ht="26.25" customHeight="1" thickTop="1">
      <c r="A371" s="457">
        <v>852</v>
      </c>
      <c r="B371" s="355"/>
      <c r="C371" s="39"/>
      <c r="D371" s="329" t="s">
        <v>78</v>
      </c>
      <c r="E371" s="403">
        <f>E373+E380+E388+E395+E400</f>
        <v>9637793</v>
      </c>
      <c r="F371" s="390">
        <f>F373+F380+F388+F395+F400</f>
        <v>7158366</v>
      </c>
      <c r="G371" s="390">
        <f>G373+G380+G388+G395+G400</f>
        <v>7158366</v>
      </c>
      <c r="H371" s="390">
        <f>H373+H380+H388+H395+H400</f>
        <v>0</v>
      </c>
      <c r="I371" s="167">
        <f>SUM(F371/E371)</f>
        <v>0.7427391312513145</v>
      </c>
      <c r="J371" s="574"/>
      <c r="K371" s="574"/>
    </row>
    <row r="372" spans="1:11" s="356" customFormat="1" ht="4.5" customHeight="1">
      <c r="A372" s="457"/>
      <c r="B372" s="12"/>
      <c r="C372" s="40"/>
      <c r="D372" s="357"/>
      <c r="E372" s="286"/>
      <c r="F372" s="266"/>
      <c r="G372" s="265"/>
      <c r="H372" s="266"/>
      <c r="I372" s="168"/>
      <c r="J372" s="574"/>
      <c r="K372" s="574"/>
    </row>
    <row r="373" spans="1:11" s="356" customFormat="1" ht="23.25" customHeight="1">
      <c r="A373" s="457"/>
      <c r="B373" s="12">
        <v>85203</v>
      </c>
      <c r="C373" s="41"/>
      <c r="D373" s="329" t="s">
        <v>210</v>
      </c>
      <c r="E373" s="403">
        <f>SUM(E377)</f>
        <v>173000</v>
      </c>
      <c r="F373" s="390">
        <f>SUM(F377)</f>
        <v>134872</v>
      </c>
      <c r="G373" s="363">
        <f>SUM(G377)</f>
        <v>134872</v>
      </c>
      <c r="H373" s="390">
        <f>SUM(H377)</f>
        <v>0</v>
      </c>
      <c r="I373" s="167">
        <f>SUM(F373/E373)</f>
        <v>0.779606936416185</v>
      </c>
      <c r="J373" s="574"/>
      <c r="K373" s="574"/>
    </row>
    <row r="374" spans="1:11" s="356" customFormat="1" ht="4.5" customHeight="1">
      <c r="A374" s="457"/>
      <c r="B374" s="12"/>
      <c r="C374" s="40"/>
      <c r="D374" s="357"/>
      <c r="E374" s="286"/>
      <c r="F374" s="371"/>
      <c r="G374" s="361"/>
      <c r="H374" s="362"/>
      <c r="I374" s="168"/>
      <c r="J374" s="574"/>
      <c r="K374" s="574"/>
    </row>
    <row r="375" spans="1:11" s="356" customFormat="1" ht="14.25" customHeight="1">
      <c r="A375" s="457"/>
      <c r="B375" s="12"/>
      <c r="C375" s="40">
        <v>2010</v>
      </c>
      <c r="D375" s="357" t="s">
        <v>204</v>
      </c>
      <c r="E375" s="286"/>
      <c r="F375" s="371"/>
      <c r="G375" s="374"/>
      <c r="H375" s="371"/>
      <c r="I375" s="168"/>
      <c r="J375" s="574"/>
      <c r="K375" s="574"/>
    </row>
    <row r="376" spans="1:11" s="356" customFormat="1" ht="14.25" customHeight="1">
      <c r="A376" s="457"/>
      <c r="B376" s="12"/>
      <c r="C376" s="40"/>
      <c r="D376" s="357" t="s">
        <v>205</v>
      </c>
      <c r="E376" s="286"/>
      <c r="F376" s="371"/>
      <c r="G376" s="374"/>
      <c r="H376" s="371"/>
      <c r="I376" s="168"/>
      <c r="J376" s="574"/>
      <c r="K376" s="574"/>
    </row>
    <row r="377" spans="1:11" s="356" customFormat="1" ht="14.25" customHeight="1">
      <c r="A377" s="457"/>
      <c r="B377" s="12"/>
      <c r="C377" s="41"/>
      <c r="D377" s="329" t="s">
        <v>206</v>
      </c>
      <c r="E377" s="403">
        <v>173000</v>
      </c>
      <c r="F377" s="390">
        <f>SUM(G377:H377)</f>
        <v>134872</v>
      </c>
      <c r="G377" s="363">
        <v>134872</v>
      </c>
      <c r="H377" s="364"/>
      <c r="I377" s="167">
        <f>SUM(F377/E377)</f>
        <v>0.779606936416185</v>
      </c>
      <c r="J377" s="574"/>
      <c r="K377" s="574"/>
    </row>
    <row r="378" spans="1:11" s="356" customFormat="1" ht="4.5" customHeight="1">
      <c r="A378" s="457"/>
      <c r="B378" s="139"/>
      <c r="C378" s="40"/>
      <c r="D378" s="357"/>
      <c r="E378" s="286"/>
      <c r="F378" s="371"/>
      <c r="G378" s="374"/>
      <c r="H378" s="371"/>
      <c r="I378" s="168"/>
      <c r="J378" s="574"/>
      <c r="K378" s="574"/>
    </row>
    <row r="379" spans="1:11" s="356" customFormat="1" ht="14.25" customHeight="1">
      <c r="A379" s="457"/>
      <c r="B379" s="12">
        <v>85212</v>
      </c>
      <c r="C379" s="40"/>
      <c r="D379" s="357" t="s">
        <v>184</v>
      </c>
      <c r="E379" s="286"/>
      <c r="F379" s="371"/>
      <c r="G379" s="374"/>
      <c r="H379" s="371"/>
      <c r="I379" s="168"/>
      <c r="J379" s="574"/>
      <c r="K379" s="574"/>
    </row>
    <row r="380" spans="1:11" s="356" customFormat="1" ht="14.25" customHeight="1">
      <c r="A380" s="457"/>
      <c r="B380" s="12"/>
      <c r="C380" s="44"/>
      <c r="D380" s="329" t="s">
        <v>185</v>
      </c>
      <c r="E380" s="390">
        <f>SUM(E384:E384)</f>
        <v>8277250</v>
      </c>
      <c r="F380" s="390">
        <f>SUM(F384:F384)</f>
        <v>6222494</v>
      </c>
      <c r="G380" s="390">
        <f>SUM(G384:G384)</f>
        <v>6222494</v>
      </c>
      <c r="H380" s="390">
        <f>SUM(H384:H384)</f>
        <v>0</v>
      </c>
      <c r="I380" s="167">
        <f>SUM(F380/E380)</f>
        <v>0.7517586154821951</v>
      </c>
      <c r="J380" s="574"/>
      <c r="K380" s="574"/>
    </row>
    <row r="381" spans="1:11" s="356" customFormat="1" ht="14.25" customHeight="1">
      <c r="A381" s="457"/>
      <c r="B381" s="12"/>
      <c r="C381" s="40"/>
      <c r="D381" s="357"/>
      <c r="E381" s="286"/>
      <c r="F381" s="371"/>
      <c r="G381" s="361"/>
      <c r="H381" s="362"/>
      <c r="I381" s="168"/>
      <c r="J381" s="574"/>
      <c r="K381" s="574"/>
    </row>
    <row r="382" spans="1:11" s="356" customFormat="1" ht="14.25" customHeight="1">
      <c r="A382" s="457"/>
      <c r="B382" s="12"/>
      <c r="C382" s="40">
        <v>2010</v>
      </c>
      <c r="D382" s="357" t="s">
        <v>204</v>
      </c>
      <c r="E382" s="286"/>
      <c r="F382" s="371"/>
      <c r="G382" s="374"/>
      <c r="H382" s="371"/>
      <c r="I382" s="168"/>
      <c r="J382" s="574"/>
      <c r="K382" s="574"/>
    </row>
    <row r="383" spans="1:11" s="356" customFormat="1" ht="14.25" customHeight="1">
      <c r="A383" s="457"/>
      <c r="B383" s="12"/>
      <c r="C383" s="40"/>
      <c r="D383" s="357" t="s">
        <v>205</v>
      </c>
      <c r="E383" s="286"/>
      <c r="F383" s="371"/>
      <c r="G383" s="374"/>
      <c r="H383" s="371"/>
      <c r="I383" s="168"/>
      <c r="J383" s="574"/>
      <c r="K383" s="574"/>
    </row>
    <row r="384" spans="1:11" s="356" customFormat="1" ht="14.25" customHeight="1">
      <c r="A384" s="459"/>
      <c r="B384" s="13"/>
      <c r="C384" s="13"/>
      <c r="D384" s="329" t="s">
        <v>206</v>
      </c>
      <c r="E384" s="403">
        <v>8277250</v>
      </c>
      <c r="F384" s="390">
        <f>SUM(G384:H384)</f>
        <v>6222494</v>
      </c>
      <c r="G384" s="363">
        <v>6222494</v>
      </c>
      <c r="H384" s="364"/>
      <c r="I384" s="167">
        <f>SUM(F384/E384)</f>
        <v>0.7517586154821951</v>
      </c>
      <c r="J384" s="574"/>
      <c r="K384" s="574"/>
    </row>
    <row r="385" spans="1:11" s="356" customFormat="1" ht="3.75" customHeight="1">
      <c r="A385" s="457"/>
      <c r="B385" s="12"/>
      <c r="C385" s="40"/>
      <c r="D385" s="357"/>
      <c r="E385" s="286"/>
      <c r="F385" s="371"/>
      <c r="G385" s="374"/>
      <c r="H385" s="371"/>
      <c r="I385" s="168"/>
      <c r="J385" s="574"/>
      <c r="K385" s="574"/>
    </row>
    <row r="386" spans="1:11" s="356" customFormat="1" ht="14.25" customHeight="1">
      <c r="A386" s="457"/>
      <c r="B386" s="12">
        <v>85213</v>
      </c>
      <c r="C386" s="40"/>
      <c r="D386" s="357" t="s">
        <v>211</v>
      </c>
      <c r="E386" s="286"/>
      <c r="F386" s="371"/>
      <c r="G386" s="374"/>
      <c r="H386" s="371"/>
      <c r="I386" s="168"/>
      <c r="J386" s="574"/>
      <c r="K386" s="574"/>
    </row>
    <row r="387" spans="1:11" s="356" customFormat="1" ht="14.25" customHeight="1">
      <c r="A387" s="386"/>
      <c r="B387" s="12"/>
      <c r="C387" s="12"/>
      <c r="D387" s="357" t="s">
        <v>212</v>
      </c>
      <c r="E387" s="2"/>
      <c r="F387" s="371"/>
      <c r="G387" s="374"/>
      <c r="H387" s="371"/>
      <c r="I387" s="168"/>
      <c r="J387" s="574"/>
      <c r="K387" s="574"/>
    </row>
    <row r="388" spans="1:11" s="356" customFormat="1" ht="14.25" customHeight="1" thickBot="1">
      <c r="A388" s="1251"/>
      <c r="B388" s="435"/>
      <c r="C388" s="1280"/>
      <c r="D388" s="1289" t="s">
        <v>213</v>
      </c>
      <c r="E388" s="1290">
        <f>SUM(E393)</f>
        <v>102000</v>
      </c>
      <c r="F388" s="1291">
        <f>SUM(F393)</f>
        <v>76500</v>
      </c>
      <c r="G388" s="1268">
        <f>SUM(G393)</f>
        <v>76500</v>
      </c>
      <c r="H388" s="1291">
        <f>SUM(H393)</f>
        <v>0</v>
      </c>
      <c r="I388" s="1276">
        <f>SUM(F388/E388)</f>
        <v>0.75</v>
      </c>
      <c r="J388" s="574"/>
      <c r="K388" s="574"/>
    </row>
    <row r="389" spans="1:11" s="296" customFormat="1" ht="14.25" customHeight="1">
      <c r="A389" s="1270">
        <v>1</v>
      </c>
      <c r="B389" s="1260">
        <v>2</v>
      </c>
      <c r="C389" s="1271">
        <v>3</v>
      </c>
      <c r="D389" s="1260">
        <v>4</v>
      </c>
      <c r="E389" s="1271">
        <v>5</v>
      </c>
      <c r="F389" s="1272">
        <v>6</v>
      </c>
      <c r="G389" s="1262">
        <v>7</v>
      </c>
      <c r="H389" s="1272">
        <v>8</v>
      </c>
      <c r="I389" s="1264">
        <v>9</v>
      </c>
      <c r="J389" s="569"/>
      <c r="K389" s="569"/>
    </row>
    <row r="390" spans="1:11" s="356" customFormat="1" ht="8.25" customHeight="1">
      <c r="A390" s="386"/>
      <c r="B390" s="12"/>
      <c r="C390" s="40"/>
      <c r="D390" s="357"/>
      <c r="E390" s="286"/>
      <c r="F390" s="371"/>
      <c r="G390" s="374"/>
      <c r="H390" s="371"/>
      <c r="I390" s="168"/>
      <c r="J390" s="574"/>
      <c r="K390" s="574"/>
    </row>
    <row r="391" spans="1:11" s="356" customFormat="1" ht="14.25" customHeight="1">
      <c r="A391" s="386"/>
      <c r="B391" s="12"/>
      <c r="C391" s="40">
        <v>2010</v>
      </c>
      <c r="D391" s="357" t="s">
        <v>204</v>
      </c>
      <c r="E391" s="286"/>
      <c r="F391" s="371"/>
      <c r="G391" s="374"/>
      <c r="H391" s="371"/>
      <c r="I391" s="168"/>
      <c r="J391" s="574"/>
      <c r="K391" s="574"/>
    </row>
    <row r="392" spans="1:11" s="356" customFormat="1" ht="14.25" customHeight="1">
      <c r="A392" s="386"/>
      <c r="B392" s="12"/>
      <c r="C392" s="40"/>
      <c r="D392" s="357" t="s">
        <v>205</v>
      </c>
      <c r="E392" s="286"/>
      <c r="F392" s="371"/>
      <c r="G392" s="374"/>
      <c r="H392" s="371"/>
      <c r="I392" s="168"/>
      <c r="J392" s="574"/>
      <c r="K392" s="574"/>
    </row>
    <row r="393" spans="1:11" s="356" customFormat="1" ht="12.75">
      <c r="A393" s="386"/>
      <c r="B393" s="13"/>
      <c r="C393" s="41"/>
      <c r="D393" s="329" t="s">
        <v>206</v>
      </c>
      <c r="E393" s="403">
        <v>102000</v>
      </c>
      <c r="F393" s="390">
        <f>SUM(G393:H393)</f>
        <v>76500</v>
      </c>
      <c r="G393" s="363">
        <v>76500</v>
      </c>
      <c r="H393" s="364"/>
      <c r="I393" s="167">
        <f>SUM(F393/E393)</f>
        <v>0.75</v>
      </c>
      <c r="J393" s="574"/>
      <c r="K393" s="574"/>
    </row>
    <row r="394" spans="1:11" s="356" customFormat="1" ht="8.25" customHeight="1">
      <c r="A394" s="386"/>
      <c r="B394" s="12"/>
      <c r="C394" s="40"/>
      <c r="D394" s="357"/>
      <c r="E394" s="286"/>
      <c r="F394" s="371"/>
      <c r="G394" s="374"/>
      <c r="H394" s="371"/>
      <c r="I394" s="168"/>
      <c r="J394" s="574"/>
      <c r="K394" s="574"/>
    </row>
    <row r="395" spans="1:11" s="356" customFormat="1" ht="19.5" customHeight="1">
      <c r="A395" s="386"/>
      <c r="B395" s="12">
        <v>85214</v>
      </c>
      <c r="C395" s="13"/>
      <c r="D395" s="329" t="s">
        <v>369</v>
      </c>
      <c r="E395" s="403">
        <f>E398</f>
        <v>959543</v>
      </c>
      <c r="F395" s="390">
        <f>F398</f>
        <v>630000</v>
      </c>
      <c r="G395" s="363">
        <f>G398</f>
        <v>630000</v>
      </c>
      <c r="H395" s="390">
        <f>H398</f>
        <v>0</v>
      </c>
      <c r="I395" s="167">
        <f>SUM(F395/E395)</f>
        <v>0.6565625511311114</v>
      </c>
      <c r="J395" s="574"/>
      <c r="K395" s="574"/>
    </row>
    <row r="396" spans="1:11" s="356" customFormat="1" ht="14.25" customHeight="1">
      <c r="A396" s="386"/>
      <c r="B396" s="12"/>
      <c r="C396" s="40">
        <v>2010</v>
      </c>
      <c r="D396" s="357" t="s">
        <v>204</v>
      </c>
      <c r="E396" s="286"/>
      <c r="F396" s="371"/>
      <c r="G396" s="374"/>
      <c r="H396" s="371"/>
      <c r="I396" s="168"/>
      <c r="J396" s="574"/>
      <c r="K396" s="574"/>
    </row>
    <row r="397" spans="1:11" s="356" customFormat="1" ht="14.25" customHeight="1">
      <c r="A397" s="386"/>
      <c r="B397" s="12"/>
      <c r="C397" s="40"/>
      <c r="D397" s="357" t="s">
        <v>205</v>
      </c>
      <c r="E397" s="286"/>
      <c r="F397" s="371"/>
      <c r="G397" s="374"/>
      <c r="H397" s="371"/>
      <c r="I397" s="168"/>
      <c r="J397" s="574"/>
      <c r="K397" s="574"/>
    </row>
    <row r="398" spans="1:11" s="356" customFormat="1" ht="14.25" customHeight="1">
      <c r="A398" s="386"/>
      <c r="B398" s="13"/>
      <c r="C398" s="13"/>
      <c r="D398" s="329" t="s">
        <v>206</v>
      </c>
      <c r="E398" s="403">
        <v>959543</v>
      </c>
      <c r="F398" s="363">
        <f>SUM(G398:H398)</f>
        <v>630000</v>
      </c>
      <c r="G398" s="363">
        <v>630000</v>
      </c>
      <c r="H398" s="364"/>
      <c r="I398" s="167">
        <f>SUM(F398/E398)</f>
        <v>0.6565625511311114</v>
      </c>
      <c r="J398" s="574"/>
      <c r="K398" s="574"/>
    </row>
    <row r="399" spans="1:11" s="356" customFormat="1" ht="8.25" customHeight="1">
      <c r="A399" s="386"/>
      <c r="B399" s="12"/>
      <c r="C399" s="40"/>
      <c r="D399" s="357"/>
      <c r="E399" s="286"/>
      <c r="F399" s="266"/>
      <c r="G399" s="265"/>
      <c r="H399" s="371"/>
      <c r="I399" s="168"/>
      <c r="J399" s="574"/>
      <c r="K399" s="574"/>
    </row>
    <row r="400" spans="1:11" s="356" customFormat="1" ht="18" customHeight="1">
      <c r="A400" s="386"/>
      <c r="B400" s="12">
        <v>85228</v>
      </c>
      <c r="C400" s="13"/>
      <c r="D400" s="329" t="s">
        <v>188</v>
      </c>
      <c r="E400" s="403">
        <f>E403</f>
        <v>126000</v>
      </c>
      <c r="F400" s="390">
        <f>F403</f>
        <v>94500</v>
      </c>
      <c r="G400" s="363">
        <f>G403</f>
        <v>94500</v>
      </c>
      <c r="H400" s="390">
        <f>H403</f>
        <v>0</v>
      </c>
      <c r="I400" s="167">
        <f>SUM(F400/E400)</f>
        <v>0.75</v>
      </c>
      <c r="J400" s="574"/>
      <c r="K400" s="574"/>
    </row>
    <row r="401" spans="1:11" s="356" customFormat="1" ht="14.25" customHeight="1">
      <c r="A401" s="386"/>
      <c r="B401" s="12"/>
      <c r="C401" s="40">
        <v>2010</v>
      </c>
      <c r="D401" s="357" t="s">
        <v>204</v>
      </c>
      <c r="E401" s="286"/>
      <c r="F401" s="266"/>
      <c r="G401" s="265"/>
      <c r="H401" s="371"/>
      <c r="I401" s="168"/>
      <c r="J401" s="574"/>
      <c r="K401" s="574"/>
    </row>
    <row r="402" spans="1:11" s="356" customFormat="1" ht="14.25" customHeight="1">
      <c r="A402" s="386"/>
      <c r="B402" s="12"/>
      <c r="C402" s="40"/>
      <c r="D402" s="357" t="s">
        <v>205</v>
      </c>
      <c r="E402" s="286"/>
      <c r="F402" s="266"/>
      <c r="G402" s="265"/>
      <c r="H402" s="371"/>
      <c r="I402" s="168"/>
      <c r="J402" s="574"/>
      <c r="K402" s="574"/>
    </row>
    <row r="403" spans="1:11" s="356" customFormat="1" ht="14.25" customHeight="1" thickBot="1">
      <c r="A403" s="386"/>
      <c r="B403" s="12"/>
      <c r="C403" s="12"/>
      <c r="D403" s="357" t="s">
        <v>206</v>
      </c>
      <c r="E403" s="286">
        <v>126000</v>
      </c>
      <c r="F403" s="265">
        <f>SUM(G403:H403)</f>
        <v>94500</v>
      </c>
      <c r="G403" s="265">
        <v>94500</v>
      </c>
      <c r="H403" s="371"/>
      <c r="I403" s="168">
        <f>SUM(F403/E403)</f>
        <v>0.75</v>
      </c>
      <c r="J403" s="574"/>
      <c r="K403" s="574"/>
    </row>
    <row r="404" spans="1:9" ht="10.5" customHeight="1">
      <c r="A404" s="428"/>
      <c r="B404" s="460"/>
      <c r="C404" s="45"/>
      <c r="D404" s="461"/>
      <c r="E404" s="518"/>
      <c r="F404" s="507"/>
      <c r="G404" s="463"/>
      <c r="H404" s="464"/>
      <c r="I404" s="169"/>
    </row>
    <row r="405" spans="1:11" s="437" customFormat="1" ht="14.25" customHeight="1" thickBot="1">
      <c r="A405" s="434"/>
      <c r="B405" s="465"/>
      <c r="C405" s="46"/>
      <c r="D405" s="436" t="s">
        <v>203</v>
      </c>
      <c r="E405" s="466">
        <f>SUM(E371,E364,E346,E355,)+E338</f>
        <v>9948196.31</v>
      </c>
      <c r="F405" s="467">
        <f>SUM(F371,F364,F346,F355,)+F338</f>
        <v>7398345.31</v>
      </c>
      <c r="G405" s="467">
        <f>SUM(G371,G364,G346,G355,)+G338</f>
        <v>7398345.31</v>
      </c>
      <c r="H405" s="340">
        <f>SUM(H371,H364,H346,H355,)+H338</f>
        <v>0</v>
      </c>
      <c r="I405" s="287">
        <f>F405/E405</f>
        <v>0.743687104622486</v>
      </c>
      <c r="J405" s="470"/>
      <c r="K405" s="470"/>
    </row>
    <row r="406" spans="1:17" s="469" customFormat="1" ht="13.5" customHeight="1">
      <c r="A406" s="160"/>
      <c r="B406" s="160"/>
      <c r="C406" s="8"/>
      <c r="D406" s="343"/>
      <c r="E406" s="468"/>
      <c r="F406" s="344"/>
      <c r="G406" s="438"/>
      <c r="H406" s="438"/>
      <c r="I406" s="437"/>
      <c r="J406" s="470"/>
      <c r="K406" s="470"/>
      <c r="L406" s="437"/>
      <c r="M406" s="437"/>
      <c r="N406" s="437"/>
      <c r="O406" s="437"/>
      <c r="P406" s="437"/>
      <c r="Q406" s="437"/>
    </row>
    <row r="407" spans="1:9" ht="37.5" customHeight="1">
      <c r="A407" s="1348" t="s">
        <v>397</v>
      </c>
      <c r="B407" s="1348"/>
      <c r="C407" s="1348"/>
      <c r="D407" s="1348"/>
      <c r="E407" s="1348"/>
      <c r="F407" s="1348"/>
      <c r="G407" s="1348"/>
      <c r="H407" s="1348"/>
      <c r="I407" s="1348"/>
    </row>
    <row r="408" spans="1:9" ht="14.25" customHeight="1" thickBot="1">
      <c r="A408" s="470"/>
      <c r="B408" s="471"/>
      <c r="D408" s="472"/>
      <c r="E408" s="441"/>
      <c r="F408" s="494"/>
      <c r="G408" s="442"/>
      <c r="H408" s="350"/>
      <c r="I408" s="292" t="s">
        <v>57</v>
      </c>
    </row>
    <row r="409" spans="1:11" s="443" customFormat="1" ht="14.25" customHeight="1">
      <c r="A409" s="1349" t="s">
        <v>58</v>
      </c>
      <c r="B409" s="1351" t="s">
        <v>84</v>
      </c>
      <c r="C409" s="1351" t="s">
        <v>85</v>
      </c>
      <c r="D409" s="1351" t="s">
        <v>86</v>
      </c>
      <c r="E409" s="1353" t="s">
        <v>60</v>
      </c>
      <c r="F409" s="1355" t="s">
        <v>344</v>
      </c>
      <c r="G409" s="1357" t="s">
        <v>61</v>
      </c>
      <c r="H409" s="1358"/>
      <c r="I409" s="1359" t="s">
        <v>370</v>
      </c>
      <c r="J409" s="572"/>
      <c r="K409" s="572"/>
    </row>
    <row r="410" spans="1:11" s="444" customFormat="1" ht="12.75">
      <c r="A410" s="1350"/>
      <c r="B410" s="1352"/>
      <c r="C410" s="1352"/>
      <c r="D410" s="1352"/>
      <c r="E410" s="1354"/>
      <c r="F410" s="1356"/>
      <c r="G410" s="207" t="s">
        <v>62</v>
      </c>
      <c r="H410" s="208" t="s">
        <v>63</v>
      </c>
      <c r="I410" s="1360"/>
      <c r="J410" s="573"/>
      <c r="K410" s="573"/>
    </row>
    <row r="411" spans="1:9" ht="14.25" customHeight="1" thickBot="1">
      <c r="A411" s="295">
        <v>1</v>
      </c>
      <c r="B411" s="11">
        <v>2</v>
      </c>
      <c r="C411" s="11">
        <v>3</v>
      </c>
      <c r="D411" s="11">
        <v>4</v>
      </c>
      <c r="E411" s="351">
        <v>5</v>
      </c>
      <c r="F411" s="352">
        <v>6</v>
      </c>
      <c r="G411" s="353">
        <v>7</v>
      </c>
      <c r="H411" s="354">
        <v>8</v>
      </c>
      <c r="I411" s="447">
        <v>9</v>
      </c>
    </row>
    <row r="412" spans="1:9" ht="14.25" customHeight="1">
      <c r="A412" s="473"/>
      <c r="B412" s="474"/>
      <c r="C412" s="49"/>
      <c r="D412" s="474"/>
      <c r="E412" s="439"/>
      <c r="F412" s="462"/>
      <c r="G412" s="318"/>
      <c r="H412" s="475"/>
      <c r="I412" s="452"/>
    </row>
    <row r="413" spans="1:9" ht="14.25" customHeight="1">
      <c r="A413" s="386">
        <v>600</v>
      </c>
      <c r="B413" s="329"/>
      <c r="C413" s="50"/>
      <c r="D413" s="329" t="s">
        <v>65</v>
      </c>
      <c r="E413" s="404">
        <f>E415</f>
        <v>550000</v>
      </c>
      <c r="F413" s="363">
        <f>F415</f>
        <v>225000</v>
      </c>
      <c r="G413" s="363">
        <f>G415</f>
        <v>225000</v>
      </c>
      <c r="H413" s="476">
        <f>H415</f>
        <v>0</v>
      </c>
      <c r="I413" s="167">
        <f>SUM(F413/E413)</f>
        <v>0.4090909090909091</v>
      </c>
    </row>
    <row r="414" spans="1:9" ht="12.75">
      <c r="A414" s="386"/>
      <c r="B414" s="12"/>
      <c r="C414" s="12"/>
      <c r="D414" s="18"/>
      <c r="E414" s="285"/>
      <c r="F414" s="315"/>
      <c r="G414" s="265"/>
      <c r="H414" s="347"/>
      <c r="I414" s="168"/>
    </row>
    <row r="415" spans="1:9" ht="14.25" customHeight="1">
      <c r="A415" s="386"/>
      <c r="B415" s="12">
        <v>60014</v>
      </c>
      <c r="C415" s="50"/>
      <c r="D415" s="329" t="s">
        <v>215</v>
      </c>
      <c r="E415" s="404">
        <f>SUM(E417:E418)</f>
        <v>550000</v>
      </c>
      <c r="F415" s="363">
        <f>SUM(F417:F418)</f>
        <v>225000</v>
      </c>
      <c r="G415" s="363">
        <f>SUM(G417:G418)</f>
        <v>225000</v>
      </c>
      <c r="H415" s="476">
        <f>SUM(H417:H418)</f>
        <v>0</v>
      </c>
      <c r="I415" s="167">
        <f>SUM(F415/E415)</f>
        <v>0.4090909090909091</v>
      </c>
    </row>
    <row r="416" spans="1:9" ht="14.25" customHeight="1">
      <c r="A416" s="386"/>
      <c r="B416" s="12"/>
      <c r="C416" s="51"/>
      <c r="D416" s="366"/>
      <c r="E416" s="285"/>
      <c r="F416" s="374"/>
      <c r="G416" s="508"/>
      <c r="H416" s="509"/>
      <c r="I416" s="168"/>
    </row>
    <row r="417" spans="1:9" ht="26.25" customHeight="1">
      <c r="A417" s="386"/>
      <c r="B417" s="12"/>
      <c r="C417" s="12">
        <v>2320</v>
      </c>
      <c r="D417" s="52" t="s">
        <v>216</v>
      </c>
      <c r="E417" s="285">
        <v>300000</v>
      </c>
      <c r="F417" s="363">
        <f>SUM(G417:H417)</f>
        <v>225000</v>
      </c>
      <c r="G417" s="265">
        <v>225000</v>
      </c>
      <c r="H417" s="346"/>
      <c r="I417" s="167">
        <f>SUM(F417/E417)</f>
        <v>0.75</v>
      </c>
    </row>
    <row r="418" spans="1:9" ht="43.5" customHeight="1" thickBot="1">
      <c r="A418" s="391"/>
      <c r="B418" s="378"/>
      <c r="C418" s="392">
        <v>6620</v>
      </c>
      <c r="D418" s="25" t="s">
        <v>358</v>
      </c>
      <c r="E418" s="526">
        <v>250000</v>
      </c>
      <c r="F418" s="549">
        <f>SUM(G418:H418)</f>
        <v>0</v>
      </c>
      <c r="G418" s="557">
        <v>0</v>
      </c>
      <c r="H418" s="380"/>
      <c r="I418" s="173">
        <f>SUM(F418/E418)</f>
        <v>0</v>
      </c>
    </row>
    <row r="419" spans="1:11" s="411" customFormat="1" ht="14.25" customHeight="1" thickTop="1">
      <c r="A419" s="406"/>
      <c r="B419" s="35"/>
      <c r="C419" s="35"/>
      <c r="D419" s="35"/>
      <c r="E419" s="407"/>
      <c r="F419" s="500"/>
      <c r="G419" s="409"/>
      <c r="H419" s="410"/>
      <c r="I419" s="168"/>
      <c r="J419" s="577"/>
      <c r="K419" s="577"/>
    </row>
    <row r="420" spans="1:11" s="356" customFormat="1" ht="14.25" customHeight="1">
      <c r="A420" s="386">
        <v>853</v>
      </c>
      <c r="B420" s="355"/>
      <c r="C420" s="13"/>
      <c r="D420" s="329" t="s">
        <v>79</v>
      </c>
      <c r="E420" s="301">
        <f>SUM(E422)</f>
        <v>5000</v>
      </c>
      <c r="F420" s="298">
        <f>SUM(F422)</f>
        <v>5000</v>
      </c>
      <c r="G420" s="298">
        <f>SUM(G422)</f>
        <v>5000</v>
      </c>
      <c r="H420" s="298">
        <f>SUM(H422)</f>
        <v>0</v>
      </c>
      <c r="I420" s="167">
        <f>SUM(F420/E420)</f>
        <v>1</v>
      </c>
      <c r="J420" s="574"/>
      <c r="K420" s="574"/>
    </row>
    <row r="421" spans="1:11" s="356" customFormat="1" ht="12.75">
      <c r="A421" s="386"/>
      <c r="B421" s="12"/>
      <c r="C421" s="12"/>
      <c r="D421" s="18"/>
      <c r="E421" s="328"/>
      <c r="F421" s="388"/>
      <c r="G421" s="374"/>
      <c r="H421" s="371"/>
      <c r="I421" s="168"/>
      <c r="J421" s="574"/>
      <c r="K421" s="574"/>
    </row>
    <row r="422" spans="1:11" s="356" customFormat="1" ht="12.75">
      <c r="A422" s="386"/>
      <c r="B422" s="12">
        <v>85395</v>
      </c>
      <c r="C422" s="41"/>
      <c r="D422" s="14" t="s">
        <v>110</v>
      </c>
      <c r="E422" s="301">
        <f>SUM(E424)</f>
        <v>5000</v>
      </c>
      <c r="F422" s="298">
        <f>SUM(F424)</f>
        <v>5000</v>
      </c>
      <c r="G422" s="363">
        <f>SUM(G424)</f>
        <v>5000</v>
      </c>
      <c r="H422" s="363">
        <f>SUM(H424)</f>
        <v>0</v>
      </c>
      <c r="I422" s="167">
        <f>SUM(F422/E422)</f>
        <v>1</v>
      </c>
      <c r="J422" s="574"/>
      <c r="K422" s="574"/>
    </row>
    <row r="423" spans="1:11" s="356" customFormat="1" ht="12.75">
      <c r="A423" s="386"/>
      <c r="B423" s="12"/>
      <c r="C423" s="40"/>
      <c r="D423" s="18"/>
      <c r="E423" s="328"/>
      <c r="F423" s="327"/>
      <c r="G423" s="266"/>
      <c r="H423" s="315"/>
      <c r="I423" s="175"/>
      <c r="J423" s="574"/>
      <c r="K423" s="574"/>
    </row>
    <row r="424" spans="1:11" s="356" customFormat="1" ht="25.5" customHeight="1" thickBot="1">
      <c r="A424" s="386"/>
      <c r="B424" s="12"/>
      <c r="C424" s="12">
        <v>2320</v>
      </c>
      <c r="D424" s="52" t="s">
        <v>216</v>
      </c>
      <c r="E424" s="328">
        <v>5000</v>
      </c>
      <c r="F424" s="327">
        <f>SUM(G424:H424)</f>
        <v>5000</v>
      </c>
      <c r="G424" s="265">
        <v>5000</v>
      </c>
      <c r="H424" s="266"/>
      <c r="I424" s="168">
        <f>SUM(F424/E424)</f>
        <v>1</v>
      </c>
      <c r="J424" s="574"/>
      <c r="K424" s="574"/>
    </row>
    <row r="425" spans="1:9" ht="14.25" customHeight="1">
      <c r="A425" s="477"/>
      <c r="B425" s="461"/>
      <c r="C425" s="45"/>
      <c r="D425" s="461"/>
      <c r="E425" s="478"/>
      <c r="F425" s="497"/>
      <c r="G425" s="463"/>
      <c r="H425" s="464"/>
      <c r="I425" s="169"/>
    </row>
    <row r="426" spans="1:11" s="481" customFormat="1" ht="14.25" customHeight="1" thickBot="1">
      <c r="A426" s="479"/>
      <c r="B426" s="436"/>
      <c r="C426" s="203"/>
      <c r="D426" s="436" t="s">
        <v>203</v>
      </c>
      <c r="E426" s="480">
        <f>SUM(E413)+E420</f>
        <v>555000</v>
      </c>
      <c r="F426" s="467">
        <f>SUM(F413)+F420</f>
        <v>230000</v>
      </c>
      <c r="G426" s="467">
        <f>SUM(G413)+G420</f>
        <v>230000</v>
      </c>
      <c r="H426" s="340">
        <f>SUM(H413)+H420</f>
        <v>0</v>
      </c>
      <c r="I426" s="287">
        <f>F426/E426</f>
        <v>0.4144144144144144</v>
      </c>
      <c r="J426" s="581"/>
      <c r="K426" s="581"/>
    </row>
    <row r="427" spans="1:9" ht="14.25" customHeight="1">
      <c r="A427" s="439"/>
      <c r="B427" s="439"/>
      <c r="C427" s="161"/>
      <c r="D427" s="343"/>
      <c r="E427" s="468"/>
      <c r="F427" s="344"/>
      <c r="G427" s="438"/>
      <c r="H427" s="438"/>
      <c r="I427" s="174"/>
    </row>
    <row r="428" spans="1:17" s="482" customFormat="1" ht="37.5" customHeight="1">
      <c r="A428" s="1348" t="s">
        <v>398</v>
      </c>
      <c r="B428" s="1348"/>
      <c r="C428" s="1348"/>
      <c r="D428" s="1348"/>
      <c r="E428" s="1348"/>
      <c r="F428" s="1348"/>
      <c r="G428" s="1348"/>
      <c r="H428" s="1348"/>
      <c r="I428" s="1348"/>
      <c r="J428" s="567"/>
      <c r="K428" s="567"/>
      <c r="L428" s="290"/>
      <c r="M428" s="290"/>
      <c r="N428" s="290"/>
      <c r="O428" s="290"/>
      <c r="P428" s="290"/>
      <c r="Q428" s="290"/>
    </row>
    <row r="429" spans="1:17" s="482" customFormat="1" ht="14.25" customHeight="1" thickBot="1">
      <c r="A429" s="470"/>
      <c r="B429" s="471"/>
      <c r="C429" s="1"/>
      <c r="D429" s="472"/>
      <c r="E429" s="441"/>
      <c r="F429" s="494"/>
      <c r="G429" s="442"/>
      <c r="H429" s="350"/>
      <c r="I429" s="292" t="s">
        <v>57</v>
      </c>
      <c r="J429" s="567"/>
      <c r="K429" s="567"/>
      <c r="L429" s="290"/>
      <c r="M429" s="290"/>
      <c r="N429" s="290"/>
      <c r="O429" s="290"/>
      <c r="P429" s="290"/>
      <c r="Q429" s="290"/>
    </row>
    <row r="430" spans="1:17" s="483" customFormat="1" ht="14.25" customHeight="1">
      <c r="A430" s="1349" t="s">
        <v>58</v>
      </c>
      <c r="B430" s="1351" t="s">
        <v>84</v>
      </c>
      <c r="C430" s="1351" t="s">
        <v>85</v>
      </c>
      <c r="D430" s="1351" t="s">
        <v>86</v>
      </c>
      <c r="E430" s="1353" t="s">
        <v>60</v>
      </c>
      <c r="F430" s="1355" t="s">
        <v>344</v>
      </c>
      <c r="G430" s="1357" t="s">
        <v>61</v>
      </c>
      <c r="H430" s="1358"/>
      <c r="I430" s="1359" t="s">
        <v>370</v>
      </c>
      <c r="J430" s="572"/>
      <c r="K430" s="572"/>
      <c r="L430" s="443"/>
      <c r="M430" s="443"/>
      <c r="N430" s="443"/>
      <c r="O430" s="443"/>
      <c r="P430" s="443"/>
      <c r="Q430" s="443"/>
    </row>
    <row r="431" spans="1:17" s="484" customFormat="1" ht="12.75">
      <c r="A431" s="1350"/>
      <c r="B431" s="1352"/>
      <c r="C431" s="1352"/>
      <c r="D431" s="1352"/>
      <c r="E431" s="1354"/>
      <c r="F431" s="1356"/>
      <c r="G431" s="207" t="s">
        <v>62</v>
      </c>
      <c r="H431" s="208" t="s">
        <v>63</v>
      </c>
      <c r="I431" s="1360"/>
      <c r="J431" s="573"/>
      <c r="K431" s="573"/>
      <c r="L431" s="444"/>
      <c r="M431" s="444"/>
      <c r="N431" s="444"/>
      <c r="O431" s="444"/>
      <c r="P431" s="444"/>
      <c r="Q431" s="444"/>
    </row>
    <row r="432" spans="1:17" s="482" customFormat="1" ht="14.25" customHeight="1" thickBot="1">
      <c r="A432" s="295">
        <v>1</v>
      </c>
      <c r="B432" s="11">
        <v>2</v>
      </c>
      <c r="C432" s="11">
        <v>3</v>
      </c>
      <c r="D432" s="11">
        <v>4</v>
      </c>
      <c r="E432" s="351">
        <v>5</v>
      </c>
      <c r="F432" s="352">
        <v>6</v>
      </c>
      <c r="G432" s="353">
        <v>7</v>
      </c>
      <c r="H432" s="354">
        <v>8</v>
      </c>
      <c r="I432" s="447">
        <v>9</v>
      </c>
      <c r="J432" s="567"/>
      <c r="K432" s="567"/>
      <c r="L432" s="290"/>
      <c r="M432" s="290"/>
      <c r="N432" s="290"/>
      <c r="O432" s="290"/>
      <c r="P432" s="290"/>
      <c r="Q432" s="290"/>
    </row>
    <row r="433" spans="1:17" s="486" customFormat="1" ht="14.25" customHeight="1">
      <c r="A433" s="406"/>
      <c r="B433" s="35"/>
      <c r="C433" s="35"/>
      <c r="D433" s="35"/>
      <c r="E433" s="407"/>
      <c r="F433" s="408"/>
      <c r="G433" s="485"/>
      <c r="H433" s="417"/>
      <c r="I433" s="168"/>
      <c r="J433" s="577"/>
      <c r="K433" s="577"/>
      <c r="L433" s="411"/>
      <c r="M433" s="411"/>
      <c r="N433" s="411"/>
      <c r="O433" s="411"/>
      <c r="P433" s="411"/>
      <c r="Q433" s="411"/>
    </row>
    <row r="434" spans="1:17" s="487" customFormat="1" ht="14.25" customHeight="1">
      <c r="A434" s="386">
        <v>853</v>
      </c>
      <c r="B434" s="355"/>
      <c r="C434" s="13"/>
      <c r="D434" s="329" t="s">
        <v>79</v>
      </c>
      <c r="E434" s="301">
        <f>SUM(E436)</f>
        <v>639087</v>
      </c>
      <c r="F434" s="298">
        <f>SUM(F436)</f>
        <v>639087</v>
      </c>
      <c r="G434" s="298">
        <f>SUM(G436)</f>
        <v>639087</v>
      </c>
      <c r="H434" s="298">
        <f>SUM(H436)</f>
        <v>0</v>
      </c>
      <c r="I434" s="167">
        <f>SUM(F434/E434)</f>
        <v>1</v>
      </c>
      <c r="J434" s="574"/>
      <c r="K434" s="574"/>
      <c r="L434" s="356"/>
      <c r="M434" s="356"/>
      <c r="N434" s="356"/>
      <c r="O434" s="356"/>
      <c r="P434" s="356"/>
      <c r="Q434" s="356"/>
    </row>
    <row r="435" spans="1:17" s="487" customFormat="1" ht="12.75">
      <c r="A435" s="386"/>
      <c r="B435" s="12"/>
      <c r="C435" s="12"/>
      <c r="D435" s="18"/>
      <c r="E435" s="328"/>
      <c r="F435" s="327"/>
      <c r="G435" s="265"/>
      <c r="H435" s="266"/>
      <c r="I435" s="168"/>
      <c r="J435" s="574"/>
      <c r="K435" s="574"/>
      <c r="L435" s="356"/>
      <c r="M435" s="356"/>
      <c r="N435" s="356"/>
      <c r="O435" s="356"/>
      <c r="P435" s="356"/>
      <c r="Q435" s="356"/>
    </row>
    <row r="436" spans="1:17" s="487" customFormat="1" ht="12.75">
      <c r="A436" s="386"/>
      <c r="B436" s="12">
        <v>85395</v>
      </c>
      <c r="C436" s="41"/>
      <c r="D436" s="14" t="s">
        <v>110</v>
      </c>
      <c r="E436" s="301">
        <f>SUM(E437:E438)</f>
        <v>639087</v>
      </c>
      <c r="F436" s="298">
        <f>SUM(F437:F438)</f>
        <v>639087</v>
      </c>
      <c r="G436" s="298">
        <f>SUM(G437:G438)</f>
        <v>639087</v>
      </c>
      <c r="H436" s="298">
        <f>SUM(H437:H438)</f>
        <v>0</v>
      </c>
      <c r="I436" s="167">
        <f>SUM(F436/E436)</f>
        <v>1</v>
      </c>
      <c r="J436" s="574"/>
      <c r="K436" s="574"/>
      <c r="L436" s="356"/>
      <c r="M436" s="356"/>
      <c r="N436" s="356"/>
      <c r="O436" s="356"/>
      <c r="P436" s="356"/>
      <c r="Q436" s="356"/>
    </row>
    <row r="437" spans="1:17" s="487" customFormat="1" ht="21.75" customHeight="1">
      <c r="A437" s="386"/>
      <c r="B437" s="12"/>
      <c r="C437" s="36">
        <v>2008</v>
      </c>
      <c r="D437" s="143" t="s">
        <v>349</v>
      </c>
      <c r="E437" s="383">
        <v>603599</v>
      </c>
      <c r="F437" s="521">
        <f>SUM(G437:H437)</f>
        <v>603599.45</v>
      </c>
      <c r="G437" s="375">
        <v>603599.45</v>
      </c>
      <c r="H437" s="376"/>
      <c r="I437" s="171">
        <f>SUM(F437/E437)</f>
        <v>1.000000745528074</v>
      </c>
      <c r="J437" s="574"/>
      <c r="K437" s="574"/>
      <c r="L437" s="356"/>
      <c r="M437" s="356"/>
      <c r="N437" s="356"/>
      <c r="O437" s="356"/>
      <c r="P437" s="356"/>
      <c r="Q437" s="356"/>
    </row>
    <row r="438" spans="1:17" s="487" customFormat="1" ht="21.75" customHeight="1" thickBot="1">
      <c r="A438" s="386"/>
      <c r="B438" s="12"/>
      <c r="C438" s="12">
        <v>2009</v>
      </c>
      <c r="D438" s="143" t="s">
        <v>349</v>
      </c>
      <c r="E438" s="328">
        <v>35488</v>
      </c>
      <c r="F438" s="327">
        <f>SUM(G438:H438)</f>
        <v>35487.55</v>
      </c>
      <c r="G438" s="265">
        <v>35487.55</v>
      </c>
      <c r="H438" s="371"/>
      <c r="I438" s="168">
        <f>SUM(F438/E438)</f>
        <v>0.999987319657349</v>
      </c>
      <c r="J438" s="574"/>
      <c r="K438" s="574"/>
      <c r="L438" s="356"/>
      <c r="M438" s="356"/>
      <c r="N438" s="356"/>
      <c r="O438" s="356"/>
      <c r="P438" s="356"/>
      <c r="Q438" s="356"/>
    </row>
    <row r="439" spans="1:17" s="482" customFormat="1" ht="14.25" customHeight="1">
      <c r="A439" s="477"/>
      <c r="B439" s="461"/>
      <c r="C439" s="45"/>
      <c r="D439" s="461"/>
      <c r="E439" s="478"/>
      <c r="F439" s="337"/>
      <c r="G439" s="338"/>
      <c r="H439" s="464"/>
      <c r="I439" s="169"/>
      <c r="J439" s="567"/>
      <c r="K439" s="567"/>
      <c r="L439" s="290"/>
      <c r="M439" s="290"/>
      <c r="N439" s="290"/>
      <c r="O439" s="290"/>
      <c r="P439" s="290"/>
      <c r="Q439" s="290"/>
    </row>
    <row r="440" spans="1:17" s="488" customFormat="1" ht="14.25" customHeight="1" thickBot="1">
      <c r="A440" s="479"/>
      <c r="B440" s="436"/>
      <c r="C440" s="203"/>
      <c r="D440" s="436" t="s">
        <v>203</v>
      </c>
      <c r="E440" s="480">
        <f>SUM(E434)</f>
        <v>639087</v>
      </c>
      <c r="F440" s="467">
        <f>SUM(F434)</f>
        <v>639087</v>
      </c>
      <c r="G440" s="467">
        <f>SUM(G434)</f>
        <v>639087</v>
      </c>
      <c r="H440" s="467">
        <f>SUM(H434)</f>
        <v>0</v>
      </c>
      <c r="I440" s="204">
        <f>F440/E440</f>
        <v>1</v>
      </c>
      <c r="J440" s="581"/>
      <c r="K440" s="581"/>
      <c r="L440" s="481"/>
      <c r="M440" s="481"/>
      <c r="N440" s="481"/>
      <c r="O440" s="481"/>
      <c r="P440" s="481"/>
      <c r="Q440" s="481"/>
    </row>
    <row r="441" spans="1:17" s="482" customFormat="1" ht="37.5" customHeight="1">
      <c r="A441" s="1378" t="s">
        <v>399</v>
      </c>
      <c r="B441" s="1378"/>
      <c r="C441" s="1378"/>
      <c r="D441" s="1378"/>
      <c r="E441" s="1378"/>
      <c r="F441" s="1378"/>
      <c r="G441" s="1378"/>
      <c r="H441" s="1378"/>
      <c r="I441" s="1378"/>
      <c r="J441" s="567"/>
      <c r="K441" s="567"/>
      <c r="L441" s="290"/>
      <c r="M441" s="290"/>
      <c r="N441" s="290"/>
      <c r="O441" s="290"/>
      <c r="P441" s="290"/>
      <c r="Q441" s="290"/>
    </row>
    <row r="442" spans="1:17" s="482" customFormat="1" ht="14.25" customHeight="1" thickBot="1">
      <c r="A442" s="470"/>
      <c r="B442" s="471"/>
      <c r="C442" s="1"/>
      <c r="D442" s="472"/>
      <c r="E442" s="441"/>
      <c r="F442" s="494"/>
      <c r="G442" s="442"/>
      <c r="H442" s="350"/>
      <c r="I442" s="292" t="s">
        <v>57</v>
      </c>
      <c r="J442" s="567"/>
      <c r="K442" s="567"/>
      <c r="L442" s="290"/>
      <c r="M442" s="290"/>
      <c r="N442" s="290"/>
      <c r="O442" s="290"/>
      <c r="P442" s="290"/>
      <c r="Q442" s="290"/>
    </row>
    <row r="443" spans="1:17" s="483" customFormat="1" ht="14.25" customHeight="1">
      <c r="A443" s="1349" t="s">
        <v>58</v>
      </c>
      <c r="B443" s="1351" t="s">
        <v>84</v>
      </c>
      <c r="C443" s="1351" t="s">
        <v>85</v>
      </c>
      <c r="D443" s="1351" t="s">
        <v>86</v>
      </c>
      <c r="E443" s="1353" t="s">
        <v>60</v>
      </c>
      <c r="F443" s="1355" t="s">
        <v>344</v>
      </c>
      <c r="G443" s="1357" t="s">
        <v>61</v>
      </c>
      <c r="H443" s="1358"/>
      <c r="I443" s="1359" t="s">
        <v>370</v>
      </c>
      <c r="J443" s="572"/>
      <c r="K443" s="572"/>
      <c r="L443" s="443"/>
      <c r="M443" s="443"/>
      <c r="N443" s="443"/>
      <c r="O443" s="443"/>
      <c r="P443" s="443"/>
      <c r="Q443" s="443"/>
    </row>
    <row r="444" spans="1:17" s="484" customFormat="1" ht="12.75">
      <c r="A444" s="1350"/>
      <c r="B444" s="1352"/>
      <c r="C444" s="1352"/>
      <c r="D444" s="1352"/>
      <c r="E444" s="1354"/>
      <c r="F444" s="1356"/>
      <c r="G444" s="207" t="s">
        <v>62</v>
      </c>
      <c r="H444" s="208" t="s">
        <v>63</v>
      </c>
      <c r="I444" s="1360"/>
      <c r="J444" s="573"/>
      <c r="K444" s="573"/>
      <c r="L444" s="444"/>
      <c r="M444" s="444"/>
      <c r="N444" s="444"/>
      <c r="O444" s="444"/>
      <c r="P444" s="444"/>
      <c r="Q444" s="444"/>
    </row>
    <row r="445" spans="1:17" s="482" customFormat="1" ht="14.25" customHeight="1" thickBot="1">
      <c r="A445" s="295">
        <v>1</v>
      </c>
      <c r="B445" s="11">
        <v>2</v>
      </c>
      <c r="C445" s="11">
        <v>3</v>
      </c>
      <c r="D445" s="11">
        <v>4</v>
      </c>
      <c r="E445" s="351">
        <v>5</v>
      </c>
      <c r="F445" s="352">
        <v>6</v>
      </c>
      <c r="G445" s="353">
        <v>7</v>
      </c>
      <c r="H445" s="354">
        <v>8</v>
      </c>
      <c r="I445" s="447">
        <v>9</v>
      </c>
      <c r="J445" s="567"/>
      <c r="K445" s="567"/>
      <c r="L445" s="290"/>
      <c r="M445" s="290"/>
      <c r="N445" s="290"/>
      <c r="O445" s="290"/>
      <c r="P445" s="290"/>
      <c r="Q445" s="290"/>
    </row>
    <row r="446" spans="1:17" s="486" customFormat="1" ht="14.25" customHeight="1">
      <c r="A446" s="406"/>
      <c r="B446" s="35"/>
      <c r="C446" s="35"/>
      <c r="D446" s="35"/>
      <c r="E446" s="407"/>
      <c r="F446" s="408"/>
      <c r="G446" s="485"/>
      <c r="H446" s="417"/>
      <c r="I446" s="168"/>
      <c r="J446" s="577"/>
      <c r="K446" s="577"/>
      <c r="L446" s="411"/>
      <c r="M446" s="411"/>
      <c r="N446" s="411"/>
      <c r="O446" s="411"/>
      <c r="P446" s="411"/>
      <c r="Q446" s="411"/>
    </row>
    <row r="447" spans="1:17" s="487" customFormat="1" ht="14.25" customHeight="1">
      <c r="A447" s="386">
        <v>852</v>
      </c>
      <c r="B447" s="355"/>
      <c r="C447" s="13"/>
      <c r="D447" s="329" t="s">
        <v>78</v>
      </c>
      <c r="E447" s="301">
        <f>SUM(E449)</f>
        <v>29231</v>
      </c>
      <c r="F447" s="298">
        <f>SUM(F449)</f>
        <v>29231</v>
      </c>
      <c r="G447" s="298">
        <f>SUM(G449)</f>
        <v>29231</v>
      </c>
      <c r="H447" s="298">
        <f>SUM(H449)</f>
        <v>0</v>
      </c>
      <c r="I447" s="167">
        <f>SUM(F447/E447)</f>
        <v>1</v>
      </c>
      <c r="J447" s="574"/>
      <c r="K447" s="574"/>
      <c r="L447" s="356"/>
      <c r="M447" s="356"/>
      <c r="N447" s="356"/>
      <c r="O447" s="356"/>
      <c r="P447" s="356"/>
      <c r="Q447" s="356"/>
    </row>
    <row r="448" spans="1:17" s="487" customFormat="1" ht="12.75">
      <c r="A448" s="386"/>
      <c r="B448" s="12"/>
      <c r="C448" s="12"/>
      <c r="D448" s="18"/>
      <c r="E448" s="328"/>
      <c r="F448" s="327"/>
      <c r="G448" s="265"/>
      <c r="H448" s="266"/>
      <c r="I448" s="168"/>
      <c r="J448" s="574"/>
      <c r="K448" s="574"/>
      <c r="L448" s="356"/>
      <c r="M448" s="356"/>
      <c r="N448" s="356"/>
      <c r="O448" s="356"/>
      <c r="P448" s="356"/>
      <c r="Q448" s="356"/>
    </row>
    <row r="449" spans="1:17" s="487" customFormat="1" ht="12.75">
      <c r="A449" s="386"/>
      <c r="B449" s="12">
        <v>85295</v>
      </c>
      <c r="C449" s="41"/>
      <c r="D449" s="14" t="s">
        <v>110</v>
      </c>
      <c r="E449" s="301">
        <f>E450</f>
        <v>29231</v>
      </c>
      <c r="F449" s="298">
        <f>F450</f>
        <v>29231</v>
      </c>
      <c r="G449" s="298">
        <f>G450</f>
        <v>29231</v>
      </c>
      <c r="H449" s="298">
        <f>H450</f>
        <v>0</v>
      </c>
      <c r="I449" s="167">
        <f>SUM(F449/E449)</f>
        <v>1</v>
      </c>
      <c r="J449" s="574"/>
      <c r="K449" s="574"/>
      <c r="L449" s="356"/>
      <c r="M449" s="356"/>
      <c r="N449" s="356"/>
      <c r="O449" s="356"/>
      <c r="P449" s="356"/>
      <c r="Q449" s="356"/>
    </row>
    <row r="450" spans="1:17" s="487" customFormat="1" ht="27.75" customHeight="1" thickBot="1">
      <c r="A450" s="386"/>
      <c r="B450" s="12"/>
      <c r="C450" s="36">
        <v>2020</v>
      </c>
      <c r="D450" s="143" t="s">
        <v>383</v>
      </c>
      <c r="E450" s="383">
        <v>29231</v>
      </c>
      <c r="F450" s="521">
        <f>SUM(G450:H450)</f>
        <v>29231</v>
      </c>
      <c r="G450" s="375">
        <v>29231</v>
      </c>
      <c r="H450" s="376"/>
      <c r="I450" s="171">
        <f>SUM(F450/E450)</f>
        <v>1</v>
      </c>
      <c r="J450" s="574"/>
      <c r="K450" s="574"/>
      <c r="L450" s="356"/>
      <c r="M450" s="356"/>
      <c r="N450" s="356"/>
      <c r="O450" s="356"/>
      <c r="P450" s="356"/>
      <c r="Q450" s="356"/>
    </row>
    <row r="451" spans="1:17" s="482" customFormat="1" ht="14.25" customHeight="1">
      <c r="A451" s="477"/>
      <c r="B451" s="461"/>
      <c r="C451" s="45"/>
      <c r="D451" s="461"/>
      <c r="E451" s="478"/>
      <c r="F451" s="337"/>
      <c r="G451" s="338"/>
      <c r="H451" s="475"/>
      <c r="I451" s="169"/>
      <c r="J451" s="567"/>
      <c r="K451" s="567"/>
      <c r="L451" s="290"/>
      <c r="M451" s="290"/>
      <c r="N451" s="290"/>
      <c r="O451" s="290"/>
      <c r="P451" s="290"/>
      <c r="Q451" s="290"/>
    </row>
    <row r="452" spans="1:17" s="488" customFormat="1" ht="14.25" customHeight="1" thickBot="1">
      <c r="A452" s="479"/>
      <c r="B452" s="436"/>
      <c r="C452" s="203"/>
      <c r="D452" s="436" t="s">
        <v>203</v>
      </c>
      <c r="E452" s="480">
        <f>SUM(E447)</f>
        <v>29231</v>
      </c>
      <c r="F452" s="467">
        <f>SUM(F447)</f>
        <v>29231</v>
      </c>
      <c r="G452" s="467">
        <f>SUM(G447)</f>
        <v>29231</v>
      </c>
      <c r="H452" s="467">
        <f>SUM(H447)</f>
        <v>0</v>
      </c>
      <c r="I452" s="204"/>
      <c r="J452" s="581"/>
      <c r="K452" s="581"/>
      <c r="L452" s="481"/>
      <c r="M452" s="481"/>
      <c r="N452" s="481"/>
      <c r="O452" s="481"/>
      <c r="P452" s="481"/>
      <c r="Q452" s="481"/>
    </row>
    <row r="454" spans="1:9" s="511" customFormat="1" ht="14.25" customHeight="1">
      <c r="A454" s="1344" t="s">
        <v>402</v>
      </c>
      <c r="B454" s="1344"/>
      <c r="C454" s="1344"/>
      <c r="D454" s="1344"/>
      <c r="E454" s="1344"/>
      <c r="F454" s="1344"/>
      <c r="G454" s="1344"/>
      <c r="H454" s="589"/>
      <c r="I454" s="590"/>
    </row>
    <row r="455" spans="1:9" s="511" customFormat="1" ht="14.25" customHeight="1" thickBot="1">
      <c r="A455" s="1345"/>
      <c r="B455" s="1345"/>
      <c r="C455" s="1345"/>
      <c r="D455" s="1345"/>
      <c r="E455" s="1345"/>
      <c r="F455" s="1345"/>
      <c r="G455" s="1345"/>
      <c r="H455" s="589"/>
      <c r="I455" s="590"/>
    </row>
    <row r="456" spans="1:9" s="591" customFormat="1" ht="14.25" customHeight="1">
      <c r="A456" s="1369" t="s">
        <v>58</v>
      </c>
      <c r="B456" s="1375" t="s">
        <v>84</v>
      </c>
      <c r="C456" s="1351" t="s">
        <v>85</v>
      </c>
      <c r="D456" s="1351" t="s">
        <v>86</v>
      </c>
      <c r="E456" s="1353" t="s">
        <v>60</v>
      </c>
      <c r="F456" s="1351" t="s">
        <v>341</v>
      </c>
      <c r="G456" s="1357" t="s">
        <v>61</v>
      </c>
      <c r="H456" s="1358"/>
      <c r="I456" s="1359" t="s">
        <v>370</v>
      </c>
    </row>
    <row r="457" spans="1:9" s="510" customFormat="1" ht="14.25" customHeight="1">
      <c r="A457" s="1370"/>
      <c r="B457" s="1377"/>
      <c r="C457" s="1352"/>
      <c r="D457" s="1352"/>
      <c r="E457" s="1354"/>
      <c r="F457" s="1352"/>
      <c r="G457" s="207" t="s">
        <v>62</v>
      </c>
      <c r="H457" s="208" t="s">
        <v>63</v>
      </c>
      <c r="I457" s="1360"/>
    </row>
    <row r="458" spans="1:9" s="511" customFormat="1" ht="14.25" customHeight="1" thickBot="1">
      <c r="A458" s="619">
        <v>1</v>
      </c>
      <c r="B458" s="620">
        <v>2</v>
      </c>
      <c r="C458" s="11">
        <v>3</v>
      </c>
      <c r="D458" s="592">
        <v>4</v>
      </c>
      <c r="E458" s="593">
        <v>5</v>
      </c>
      <c r="F458" s="594">
        <v>6</v>
      </c>
      <c r="G458" s="621">
        <v>7</v>
      </c>
      <c r="H458" s="622">
        <v>8</v>
      </c>
      <c r="I458" s="623">
        <v>9</v>
      </c>
    </row>
    <row r="459" spans="1:9" s="511" customFormat="1" ht="14.25" customHeight="1">
      <c r="A459" s="624"/>
      <c r="B459" s="625"/>
      <c r="C459" s="160"/>
      <c r="D459" s="596"/>
      <c r="E459" s="597"/>
      <c r="F459" s="595"/>
      <c r="G459" s="597"/>
      <c r="H459" s="626"/>
      <c r="I459" s="627"/>
    </row>
    <row r="460" spans="1:9" s="511" customFormat="1" ht="14.25" customHeight="1">
      <c r="A460" s="628">
        <v>750</v>
      </c>
      <c r="B460" s="629"/>
      <c r="C460" s="50"/>
      <c r="D460" s="630" t="s">
        <v>67</v>
      </c>
      <c r="E460" s="598">
        <f>SUM(E462)</f>
        <v>150000</v>
      </c>
      <c r="F460" s="599">
        <f>F462</f>
        <v>89938.8</v>
      </c>
      <c r="G460" s="631">
        <f>G462</f>
        <v>89938.8</v>
      </c>
      <c r="H460" s="631">
        <f>H462</f>
        <v>0</v>
      </c>
      <c r="I460" s="632">
        <f>F460/E460</f>
        <v>0.599592</v>
      </c>
    </row>
    <row r="461" spans="1:9" s="511" customFormat="1" ht="14.25" customHeight="1">
      <c r="A461" s="628"/>
      <c r="B461" s="633"/>
      <c r="C461" s="161"/>
      <c r="D461" s="601"/>
      <c r="E461" s="600"/>
      <c r="F461" s="602"/>
      <c r="G461" s="634"/>
      <c r="H461" s="635"/>
      <c r="I461" s="636"/>
    </row>
    <row r="462" spans="1:9" s="511" customFormat="1" ht="14.25" customHeight="1">
      <c r="A462" s="628"/>
      <c r="B462" s="637">
        <v>75011</v>
      </c>
      <c r="C462" s="638"/>
      <c r="D462" s="630" t="s">
        <v>103</v>
      </c>
      <c r="E462" s="598">
        <f>SUM(E464)</f>
        <v>150000</v>
      </c>
      <c r="F462" s="599">
        <f>G462+H462</f>
        <v>89938.8</v>
      </c>
      <c r="G462" s="631">
        <f>G464</f>
        <v>89938.8</v>
      </c>
      <c r="H462" s="631">
        <f>H464</f>
        <v>0</v>
      </c>
      <c r="I462" s="632">
        <f>F462/E462</f>
        <v>0.599592</v>
      </c>
    </row>
    <row r="463" spans="1:9" s="511" customFormat="1" ht="14.25" customHeight="1">
      <c r="A463" s="628"/>
      <c r="B463" s="637"/>
      <c r="C463" s="161"/>
      <c r="D463" s="603"/>
      <c r="E463" s="604"/>
      <c r="F463" s="602"/>
      <c r="G463" s="634"/>
      <c r="H463" s="635"/>
      <c r="I463" s="636"/>
    </row>
    <row r="464" spans="1:9" s="511" customFormat="1" ht="13.5" thickBot="1">
      <c r="A464" s="639"/>
      <c r="B464" s="640"/>
      <c r="C464" s="641" t="s">
        <v>136</v>
      </c>
      <c r="D464" s="642" t="s">
        <v>137</v>
      </c>
      <c r="E464" s="605">
        <v>150000</v>
      </c>
      <c r="F464" s="606">
        <f>G464+H464</f>
        <v>89938.8</v>
      </c>
      <c r="G464" s="643">
        <v>89938.8</v>
      </c>
      <c r="H464" s="644"/>
      <c r="I464" s="645">
        <f>F464/E464</f>
        <v>0.599592</v>
      </c>
    </row>
    <row r="465" spans="1:9" s="511" customFormat="1" ht="14.25" customHeight="1" thickTop="1">
      <c r="A465" s="646"/>
      <c r="B465" s="625"/>
      <c r="C465" s="607"/>
      <c r="D465" s="608"/>
      <c r="E465" s="595"/>
      <c r="F465" s="595"/>
      <c r="G465" s="634"/>
      <c r="H465" s="635"/>
      <c r="I465" s="636"/>
    </row>
    <row r="466" spans="1:9" s="511" customFormat="1" ht="14.25" customHeight="1">
      <c r="A466" s="628">
        <v>852</v>
      </c>
      <c r="B466" s="629"/>
      <c r="C466" s="50"/>
      <c r="D466" s="647" t="s">
        <v>78</v>
      </c>
      <c r="E466" s="598">
        <f>SUM(E468+E472)</f>
        <v>7000</v>
      </c>
      <c r="F466" s="609">
        <f>SUM(F468+F472)</f>
        <v>69657.22</v>
      </c>
      <c r="G466" s="631">
        <f>G468+G472</f>
        <v>69657.22</v>
      </c>
      <c r="H466" s="631">
        <f>H468+H472</f>
        <v>0</v>
      </c>
      <c r="I466" s="632">
        <f>F466/E466</f>
        <v>9.95103142857143</v>
      </c>
    </row>
    <row r="467" spans="1:9" s="511" customFormat="1" ht="14.25" customHeight="1">
      <c r="A467" s="628"/>
      <c r="B467" s="633"/>
      <c r="C467" s="610"/>
      <c r="D467" s="648" t="s">
        <v>400</v>
      </c>
      <c r="E467" s="600"/>
      <c r="F467" s="602"/>
      <c r="G467" s="634"/>
      <c r="H467" s="635"/>
      <c r="I467" s="636"/>
    </row>
    <row r="468" spans="1:9" s="511" customFormat="1" ht="14.25" customHeight="1">
      <c r="A468" s="628"/>
      <c r="B468" s="637">
        <v>85212</v>
      </c>
      <c r="C468" s="50"/>
      <c r="D468" s="649" t="s">
        <v>401</v>
      </c>
      <c r="E468" s="598">
        <f>SUM(E470)</f>
        <v>0</v>
      </c>
      <c r="F468" s="599">
        <f>F470</f>
        <v>67707.73</v>
      </c>
      <c r="G468" s="631">
        <f>G470</f>
        <v>67707.73</v>
      </c>
      <c r="H468" s="631">
        <f>H470</f>
        <v>0</v>
      </c>
      <c r="I468" s="632"/>
    </row>
    <row r="469" spans="1:9" s="511" customFormat="1" ht="14.25" customHeight="1">
      <c r="A469" s="628"/>
      <c r="B469" s="637"/>
      <c r="C469" s="610"/>
      <c r="D469" s="603"/>
      <c r="E469" s="611"/>
      <c r="F469" s="612"/>
      <c r="G469" s="650"/>
      <c r="H469" s="635"/>
      <c r="I469" s="636"/>
    </row>
    <row r="470" spans="1:9" s="511" customFormat="1" ht="12.75">
      <c r="A470" s="628"/>
      <c r="B470" s="651"/>
      <c r="C470" s="652" t="s">
        <v>101</v>
      </c>
      <c r="D470" s="653" t="s">
        <v>102</v>
      </c>
      <c r="E470" s="598">
        <v>0</v>
      </c>
      <c r="F470" s="599">
        <f>G470+H470</f>
        <v>67707.73</v>
      </c>
      <c r="G470" s="631">
        <v>67707.73</v>
      </c>
      <c r="H470" s="654"/>
      <c r="I470" s="632"/>
    </row>
    <row r="471" spans="1:9" s="511" customFormat="1" ht="14.25" customHeight="1">
      <c r="A471" s="628"/>
      <c r="B471" s="633"/>
      <c r="C471" s="610"/>
      <c r="D471" s="648"/>
      <c r="E471" s="600"/>
      <c r="F471" s="602"/>
      <c r="G471" s="634"/>
      <c r="H471" s="635"/>
      <c r="I471" s="636"/>
    </row>
    <row r="472" spans="1:9" s="511" customFormat="1" ht="14.25" customHeight="1">
      <c r="A472" s="628"/>
      <c r="B472" s="637">
        <v>85228</v>
      </c>
      <c r="C472" s="50"/>
      <c r="D472" s="630" t="s">
        <v>188</v>
      </c>
      <c r="E472" s="598">
        <f>SUM(E474)</f>
        <v>7000</v>
      </c>
      <c r="F472" s="599">
        <f>F474</f>
        <v>1949.49</v>
      </c>
      <c r="G472" s="631">
        <f>G474</f>
        <v>1949.49</v>
      </c>
      <c r="H472" s="631">
        <f>H474</f>
        <v>0</v>
      </c>
      <c r="I472" s="632">
        <f>F472/E472</f>
        <v>0.27849857142857143</v>
      </c>
    </row>
    <row r="473" spans="1:9" s="511" customFormat="1" ht="14.25" customHeight="1">
      <c r="A473" s="628"/>
      <c r="B473" s="637"/>
      <c r="C473" s="610"/>
      <c r="D473" s="613"/>
      <c r="E473" s="604"/>
      <c r="F473" s="602"/>
      <c r="G473" s="650"/>
      <c r="H473" s="655"/>
      <c r="I473" s="656"/>
    </row>
    <row r="474" spans="1:9" s="511" customFormat="1" ht="13.5" thickBot="1">
      <c r="A474" s="628"/>
      <c r="B474" s="637"/>
      <c r="C474" s="657" t="s">
        <v>189</v>
      </c>
      <c r="D474" s="658" t="s">
        <v>190</v>
      </c>
      <c r="E474" s="604">
        <v>7000</v>
      </c>
      <c r="F474" s="602">
        <f>G474+H474</f>
        <v>1949.49</v>
      </c>
      <c r="G474" s="659">
        <v>1949.49</v>
      </c>
      <c r="H474" s="660"/>
      <c r="I474" s="661">
        <f>F474/E474</f>
        <v>0.27849857142857143</v>
      </c>
    </row>
    <row r="475" spans="1:9" s="511" customFormat="1" ht="14.25" customHeight="1">
      <c r="A475" s="662"/>
      <c r="B475" s="663"/>
      <c r="C475" s="664"/>
      <c r="D475" s="614"/>
      <c r="E475" s="597"/>
      <c r="F475" s="615"/>
      <c r="G475" s="634"/>
      <c r="H475" s="635"/>
      <c r="I475" s="636"/>
    </row>
    <row r="476" spans="1:9" s="511" customFormat="1" ht="14.25" customHeight="1" thickBot="1">
      <c r="A476" s="665"/>
      <c r="B476" s="666"/>
      <c r="C476" s="667"/>
      <c r="D476" s="616" t="s">
        <v>203</v>
      </c>
      <c r="E476" s="617">
        <f>SUM(E460+E466)</f>
        <v>157000</v>
      </c>
      <c r="F476" s="618">
        <f>SUM(F460+F466)</f>
        <v>159596.02000000002</v>
      </c>
      <c r="G476" s="618">
        <f>SUM(G460+G466)</f>
        <v>159596.02000000002</v>
      </c>
      <c r="H476" s="618">
        <f>SUM(H460+H466)</f>
        <v>0</v>
      </c>
      <c r="I476" s="668">
        <f>F476/E476</f>
        <v>1.0165351592356688</v>
      </c>
    </row>
  </sheetData>
  <mergeCells count="67">
    <mergeCell ref="I456:I457"/>
    <mergeCell ref="A454:G454"/>
    <mergeCell ref="A455:G455"/>
    <mergeCell ref="A456:A457"/>
    <mergeCell ref="B456:B457"/>
    <mergeCell ref="C456:C457"/>
    <mergeCell ref="D456:D457"/>
    <mergeCell ref="E456:E457"/>
    <mergeCell ref="F456:F457"/>
    <mergeCell ref="G456:H456"/>
    <mergeCell ref="A441:I441"/>
    <mergeCell ref="A443:A444"/>
    <mergeCell ref="B443:B444"/>
    <mergeCell ref="C443:C444"/>
    <mergeCell ref="D443:D444"/>
    <mergeCell ref="E443:E444"/>
    <mergeCell ref="F443:F444"/>
    <mergeCell ref="G443:H443"/>
    <mergeCell ref="I443:I444"/>
    <mergeCell ref="G409:H409"/>
    <mergeCell ref="F409:F410"/>
    <mergeCell ref="E334:E335"/>
    <mergeCell ref="G334:H334"/>
    <mergeCell ref="F334:F335"/>
    <mergeCell ref="A407:I407"/>
    <mergeCell ref="I409:I410"/>
    <mergeCell ref="A334:A335"/>
    <mergeCell ref="B334:B335"/>
    <mergeCell ref="C334:C335"/>
    <mergeCell ref="B52:B53"/>
    <mergeCell ref="D52:D53"/>
    <mergeCell ref="C52:C53"/>
    <mergeCell ref="A409:A410"/>
    <mergeCell ref="B409:B410"/>
    <mergeCell ref="C409:C410"/>
    <mergeCell ref="D409:D410"/>
    <mergeCell ref="A52:A53"/>
    <mergeCell ref="D334:D335"/>
    <mergeCell ref="D249:D250"/>
    <mergeCell ref="C9:D9"/>
    <mergeCell ref="C7:D7"/>
    <mergeCell ref="B5:B6"/>
    <mergeCell ref="A50:I50"/>
    <mergeCell ref="C48:D48"/>
    <mergeCell ref="F5:F6"/>
    <mergeCell ref="C5:D6"/>
    <mergeCell ref="E5:E6"/>
    <mergeCell ref="C8:D8"/>
    <mergeCell ref="E409:E410"/>
    <mergeCell ref="I5:I6"/>
    <mergeCell ref="I52:I53"/>
    <mergeCell ref="I334:I335"/>
    <mergeCell ref="G5:H5"/>
    <mergeCell ref="E52:E53"/>
    <mergeCell ref="G52:H52"/>
    <mergeCell ref="F52:F53"/>
    <mergeCell ref="A333:I333"/>
    <mergeCell ref="D237:D238"/>
    <mergeCell ref="A428:I428"/>
    <mergeCell ref="A430:A431"/>
    <mergeCell ref="B430:B431"/>
    <mergeCell ref="C430:C431"/>
    <mergeCell ref="D430:D431"/>
    <mergeCell ref="E430:E431"/>
    <mergeCell ref="F430:F431"/>
    <mergeCell ref="G430:H430"/>
    <mergeCell ref="I430:I431"/>
  </mergeCells>
  <printOptions horizontalCentered="1"/>
  <pageMargins left="0.3937007874015748" right="0.3937007874015748" top="0.48" bottom="0.36" header="0.46" footer="0.39"/>
  <pageSetup fitToHeight="11" fitToWidth="11" horizontalDpi="300" verticalDpi="300" orientation="landscape" paperSize="9" scale="73" r:id="rId1"/>
  <rowBreaks count="13" manualBreakCount="13">
    <brk id="48" max="8" man="1"/>
    <brk id="83" max="8" man="1"/>
    <brk id="114" max="8" man="1"/>
    <brk id="150" max="8" man="1"/>
    <brk id="181" max="8" man="1"/>
    <brk id="211" max="8" man="1"/>
    <brk id="242" max="8" man="1"/>
    <brk id="273" max="8" man="1"/>
    <brk id="301" max="8" man="1"/>
    <brk id="331" max="8" man="1"/>
    <brk id="388" max="8" man="1"/>
    <brk id="405" max="8" man="1"/>
    <brk id="42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6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2"/>
  <cols>
    <col min="2" max="2" width="34.875" style="0" bestFit="1" customWidth="1"/>
    <col min="5" max="7" width="13.75390625" style="0" customWidth="1"/>
  </cols>
  <sheetData>
    <row r="1" spans="1:7" s="914" customFormat="1" ht="60" customHeight="1">
      <c r="A1" s="1466" t="s">
        <v>3</v>
      </c>
      <c r="B1" s="1466"/>
      <c r="C1" s="1466"/>
      <c r="D1" s="1466"/>
      <c r="E1" s="1466"/>
      <c r="F1" s="1466"/>
      <c r="G1" s="1466"/>
    </row>
    <row r="2" spans="1:7" s="914" customFormat="1" ht="18">
      <c r="A2" s="916"/>
      <c r="B2" s="916"/>
      <c r="C2" s="916"/>
      <c r="D2" s="916"/>
      <c r="E2" s="916"/>
      <c r="F2" s="916"/>
      <c r="G2" s="916"/>
    </row>
    <row r="3" spans="1:7" s="914" customFormat="1" ht="15" thickBot="1">
      <c r="A3" s="736"/>
      <c r="B3" s="736"/>
      <c r="C3" s="736"/>
      <c r="D3" s="736"/>
      <c r="E3" s="736"/>
      <c r="G3" s="917" t="s">
        <v>57</v>
      </c>
    </row>
    <row r="4" spans="1:7" s="914" customFormat="1" ht="15" customHeight="1">
      <c r="A4" s="1446" t="s">
        <v>414</v>
      </c>
      <c r="B4" s="1449" t="s">
        <v>86</v>
      </c>
      <c r="C4" s="1452" t="s">
        <v>58</v>
      </c>
      <c r="D4" s="1452" t="s">
        <v>84</v>
      </c>
      <c r="E4" s="1455" t="s">
        <v>60</v>
      </c>
      <c r="F4" s="1458" t="s">
        <v>341</v>
      </c>
      <c r="G4" s="1461" t="s">
        <v>441</v>
      </c>
    </row>
    <row r="5" spans="1:7" s="914" customFormat="1" ht="12">
      <c r="A5" s="1448"/>
      <c r="B5" s="1451"/>
      <c r="C5" s="1454"/>
      <c r="D5" s="1454"/>
      <c r="E5" s="1457"/>
      <c r="F5" s="1460"/>
      <c r="G5" s="1463"/>
    </row>
    <row r="6" spans="1:7" s="914" customFormat="1" ht="12.75" thickBot="1">
      <c r="A6" s="918">
        <v>1</v>
      </c>
      <c r="B6" s="919">
        <v>2</v>
      </c>
      <c r="C6" s="920">
        <v>3</v>
      </c>
      <c r="D6" s="920">
        <v>4</v>
      </c>
      <c r="E6" s="920">
        <v>5</v>
      </c>
      <c r="F6" s="920">
        <v>6</v>
      </c>
      <c r="G6" s="921">
        <v>7</v>
      </c>
    </row>
    <row r="7" spans="1:7" s="914" customFormat="1" ht="12">
      <c r="A7" s="922"/>
      <c r="B7" s="738" t="s">
        <v>305</v>
      </c>
      <c r="C7" s="1151"/>
      <c r="D7" s="1151"/>
      <c r="E7" s="1151"/>
      <c r="F7" s="1152"/>
      <c r="G7" s="924"/>
    </row>
    <row r="8" spans="1:7" s="720" customFormat="1" ht="48">
      <c r="A8" s="1007">
        <v>1</v>
      </c>
      <c r="B8" s="1153" t="s">
        <v>4</v>
      </c>
      <c r="C8" s="85">
        <v>853</v>
      </c>
      <c r="D8" s="85">
        <v>85395</v>
      </c>
      <c r="E8" s="1154">
        <f>SUM(E10:E13)</f>
        <v>355366</v>
      </c>
      <c r="F8" s="1155">
        <f>SUM(F10:F13)</f>
        <v>355366</v>
      </c>
      <c r="G8" s="1156">
        <f>SUM(F8/E8)</f>
        <v>1</v>
      </c>
    </row>
    <row r="9" spans="1:7" s="720" customFormat="1" ht="12">
      <c r="A9" s="1157"/>
      <c r="B9" s="86" t="s">
        <v>61</v>
      </c>
      <c r="C9" s="1158"/>
      <c r="D9" s="1158"/>
      <c r="E9" s="1159"/>
      <c r="F9" s="741"/>
      <c r="G9" s="877"/>
    </row>
    <row r="10" spans="1:7" s="720" customFormat="1" ht="12">
      <c r="A10" s="84">
        <v>2</v>
      </c>
      <c r="B10" s="86" t="s">
        <v>5</v>
      </c>
      <c r="C10" s="1158"/>
      <c r="D10" s="1158"/>
      <c r="E10" s="1159">
        <v>66462</v>
      </c>
      <c r="F10" s="741">
        <v>66462</v>
      </c>
      <c r="G10" s="877">
        <f>SUM(F10/E10)</f>
        <v>1</v>
      </c>
    </row>
    <row r="11" spans="1:7" s="720" customFormat="1" ht="12">
      <c r="A11" s="84">
        <v>3</v>
      </c>
      <c r="B11" s="86" t="s">
        <v>6</v>
      </c>
      <c r="C11" s="1158"/>
      <c r="D11" s="1158"/>
      <c r="E11" s="1159">
        <v>65802</v>
      </c>
      <c r="F11" s="933">
        <v>65802</v>
      </c>
      <c r="G11" s="877">
        <f>SUM(F11/E11)</f>
        <v>1</v>
      </c>
    </row>
    <row r="12" spans="1:7" s="720" customFormat="1" ht="12">
      <c r="A12" s="84">
        <v>4</v>
      </c>
      <c r="B12" s="86" t="s">
        <v>7</v>
      </c>
      <c r="C12" s="85"/>
      <c r="D12" s="85"/>
      <c r="E12" s="1159">
        <v>42832</v>
      </c>
      <c r="F12" s="741">
        <v>42832</v>
      </c>
      <c r="G12" s="877">
        <f>SUM(F12/E12)</f>
        <v>1</v>
      </c>
    </row>
    <row r="13" spans="1:7" s="720" customFormat="1" ht="12">
      <c r="A13" s="84">
        <v>5</v>
      </c>
      <c r="B13" s="86" t="s">
        <v>8</v>
      </c>
      <c r="C13" s="85"/>
      <c r="D13" s="85"/>
      <c r="E13" s="1159">
        <v>180270</v>
      </c>
      <c r="F13" s="741">
        <v>180270</v>
      </c>
      <c r="G13" s="877">
        <f>SUM(F13/E13)</f>
        <v>1</v>
      </c>
    </row>
    <row r="14" spans="1:7" s="914" customFormat="1" ht="12.75" thickBot="1">
      <c r="A14" s="892"/>
      <c r="B14" s="987"/>
      <c r="C14" s="1160"/>
      <c r="D14" s="1160"/>
      <c r="E14" s="1161"/>
      <c r="F14" s="1162"/>
      <c r="G14" s="1163"/>
    </row>
    <row r="15" spans="1:7" s="914" customFormat="1" ht="12">
      <c r="A15" s="992"/>
      <c r="B15" s="747"/>
      <c r="C15" s="1164"/>
      <c r="D15" s="1164"/>
      <c r="E15" s="1165"/>
      <c r="F15" s="993"/>
      <c r="G15" s="994"/>
    </row>
    <row r="16" spans="1:8" s="914" customFormat="1" ht="15.75" thickBot="1">
      <c r="A16" s="995"/>
      <c r="B16" s="893" t="s">
        <v>203</v>
      </c>
      <c r="C16" s="1166" t="s">
        <v>517</v>
      </c>
      <c r="D16" s="1166" t="s">
        <v>517</v>
      </c>
      <c r="E16" s="1167">
        <f>SUM(E8)</f>
        <v>355366</v>
      </c>
      <c r="F16" s="1168">
        <f>SUM(F8)</f>
        <v>355366</v>
      </c>
      <c r="G16" s="1169">
        <f>SUM(F16/E16)</f>
        <v>1</v>
      </c>
      <c r="H16" s="898"/>
    </row>
  </sheetData>
  <mergeCells count="8"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28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2"/>
  <cols>
    <col min="1" max="1" width="3.375" style="0" bestFit="1" customWidth="1"/>
    <col min="2" max="2" width="4.875" style="0" bestFit="1" customWidth="1"/>
    <col min="3" max="3" width="8.625" style="0" customWidth="1"/>
    <col min="4" max="4" width="35.375" style="0" customWidth="1"/>
    <col min="5" max="5" width="39.25390625" style="0" customWidth="1"/>
    <col min="6" max="6" width="25.25390625" style="0" customWidth="1"/>
    <col min="7" max="7" width="11.75390625" style="0" customWidth="1"/>
    <col min="8" max="8" width="11.875" style="0" customWidth="1"/>
    <col min="9" max="9" width="13.125" style="0" bestFit="1" customWidth="1"/>
    <col min="10" max="10" width="15.625" style="83" customWidth="1"/>
    <col min="11" max="11" width="17.875" style="0" customWidth="1"/>
    <col min="12" max="12" width="17.875" style="83" customWidth="1"/>
    <col min="13" max="13" width="12.625" style="101" bestFit="1" customWidth="1"/>
    <col min="14" max="14" width="12.75390625" style="0" bestFit="1" customWidth="1"/>
    <col min="15" max="15" width="13.75390625" style="0" customWidth="1"/>
    <col min="16" max="16" width="12.625" style="0" customWidth="1"/>
    <col min="17" max="17" width="16.875" style="0" customWidth="1"/>
    <col min="18" max="18" width="11.75390625" style="0" bestFit="1" customWidth="1"/>
    <col min="19" max="19" width="10.75390625" style="0" bestFit="1" customWidth="1"/>
    <col min="21" max="21" width="11.625" style="0" bestFit="1" customWidth="1"/>
  </cols>
  <sheetData>
    <row r="1" spans="1:16" ht="64.5" customHeight="1">
      <c r="A1" s="1469" t="s">
        <v>9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170"/>
      <c r="N1" s="1194"/>
      <c r="O1" s="1195"/>
      <c r="P1" s="1195"/>
    </row>
    <row r="2" spans="1:17" ht="16.5" thickBot="1">
      <c r="A2" s="1171"/>
      <c r="B2" s="1171"/>
      <c r="C2" s="1171"/>
      <c r="D2" s="1171"/>
      <c r="E2" s="1171"/>
      <c r="F2" s="1171"/>
      <c r="G2" s="1171"/>
      <c r="H2" s="1171"/>
      <c r="I2" s="1171"/>
      <c r="J2" s="1171"/>
      <c r="Q2" s="293" t="s">
        <v>57</v>
      </c>
    </row>
    <row r="3" spans="1:17" s="1172" customFormat="1" ht="12">
      <c r="A3" s="1470" t="s">
        <v>10</v>
      </c>
      <c r="B3" s="1472" t="s">
        <v>58</v>
      </c>
      <c r="C3" s="1472" t="s">
        <v>84</v>
      </c>
      <c r="D3" s="1472" t="s">
        <v>11</v>
      </c>
      <c r="E3" s="1472" t="s">
        <v>12</v>
      </c>
      <c r="F3" s="1472" t="s">
        <v>13</v>
      </c>
      <c r="G3" s="1472" t="s">
        <v>14</v>
      </c>
      <c r="H3" s="1472"/>
      <c r="I3" s="1472" t="s">
        <v>15</v>
      </c>
      <c r="J3" s="1472" t="s">
        <v>16</v>
      </c>
      <c r="K3" s="1476" t="s">
        <v>17</v>
      </c>
      <c r="L3" s="1476" t="s">
        <v>341</v>
      </c>
      <c r="M3" s="1478" t="s">
        <v>61</v>
      </c>
      <c r="N3" s="1479"/>
      <c r="O3" s="1479"/>
      <c r="P3" s="1479"/>
      <c r="Q3" s="1467" t="s">
        <v>18</v>
      </c>
    </row>
    <row r="4" spans="1:17" s="1172" customFormat="1" ht="45.75" customHeight="1">
      <c r="A4" s="1471"/>
      <c r="B4" s="1473"/>
      <c r="C4" s="1473"/>
      <c r="D4" s="1473"/>
      <c r="E4" s="1473"/>
      <c r="F4" s="1473"/>
      <c r="G4" s="1173" t="s">
        <v>19</v>
      </c>
      <c r="H4" s="1173" t="s">
        <v>20</v>
      </c>
      <c r="I4" s="1473"/>
      <c r="J4" s="1473"/>
      <c r="K4" s="1477"/>
      <c r="L4" s="1477"/>
      <c r="M4" s="1174" t="s">
        <v>21</v>
      </c>
      <c r="N4" s="1175" t="s">
        <v>22</v>
      </c>
      <c r="O4" s="1176" t="s">
        <v>23</v>
      </c>
      <c r="P4" s="1176" t="s">
        <v>24</v>
      </c>
      <c r="Q4" s="1468"/>
    </row>
    <row r="5" spans="1:17" s="1220" customFormat="1" ht="15" customHeight="1" thickBot="1">
      <c r="A5" s="1221">
        <v>1</v>
      </c>
      <c r="B5" s="1222">
        <v>2</v>
      </c>
      <c r="C5" s="1222">
        <v>3</v>
      </c>
      <c r="D5" s="1223">
        <v>4</v>
      </c>
      <c r="E5" s="1223">
        <v>5</v>
      </c>
      <c r="F5" s="1223">
        <v>6</v>
      </c>
      <c r="G5" s="1223">
        <v>7</v>
      </c>
      <c r="H5" s="1223">
        <v>8</v>
      </c>
      <c r="I5" s="1223">
        <v>9</v>
      </c>
      <c r="J5" s="1223">
        <v>10</v>
      </c>
      <c r="K5" s="1223">
        <v>11</v>
      </c>
      <c r="L5" s="1223">
        <v>12</v>
      </c>
      <c r="M5" s="1223">
        <v>13</v>
      </c>
      <c r="N5" s="1223">
        <v>14</v>
      </c>
      <c r="O5" s="1224">
        <v>15</v>
      </c>
      <c r="P5" s="1224">
        <v>16</v>
      </c>
      <c r="Q5" s="1225">
        <v>17</v>
      </c>
    </row>
    <row r="6" spans="1:17" s="1206" customFormat="1" ht="39.75" customHeight="1">
      <c r="A6" s="1199" t="s">
        <v>537</v>
      </c>
      <c r="B6" s="1200">
        <v>750</v>
      </c>
      <c r="C6" s="1200">
        <v>75023</v>
      </c>
      <c r="D6" s="1201" t="s">
        <v>27</v>
      </c>
      <c r="E6" s="1201" t="s">
        <v>28</v>
      </c>
      <c r="F6" s="1202" t="s">
        <v>29</v>
      </c>
      <c r="G6" s="1200">
        <v>2008</v>
      </c>
      <c r="H6" s="1200">
        <v>2010</v>
      </c>
      <c r="I6" s="1203">
        <v>1144900</v>
      </c>
      <c r="J6" s="1203">
        <v>1142900</v>
      </c>
      <c r="K6" s="1204">
        <v>22000</v>
      </c>
      <c r="L6" s="1183">
        <f>SUM(M6:P6)</f>
        <v>3500</v>
      </c>
      <c r="M6" s="1183">
        <v>525</v>
      </c>
      <c r="N6" s="1183">
        <v>0</v>
      </c>
      <c r="O6" s="1183">
        <v>2975</v>
      </c>
      <c r="P6" s="1184">
        <v>0</v>
      </c>
      <c r="Q6" s="1205">
        <f aca="true" t="shared" si="0" ref="Q6:Q25">SUM(L6/K6)</f>
        <v>0.1590909090909091</v>
      </c>
    </row>
    <row r="7" spans="1:17" s="1206" customFormat="1" ht="39.75" customHeight="1">
      <c r="A7" s="1199" t="s">
        <v>540</v>
      </c>
      <c r="B7" s="1200">
        <v>754</v>
      </c>
      <c r="C7" s="1200">
        <v>75412</v>
      </c>
      <c r="D7" s="1201" t="s">
        <v>25</v>
      </c>
      <c r="E7" s="1201" t="s">
        <v>30</v>
      </c>
      <c r="F7" s="1202" t="s">
        <v>26</v>
      </c>
      <c r="G7" s="1200">
        <v>2004</v>
      </c>
      <c r="H7" s="1200">
        <v>2008</v>
      </c>
      <c r="I7" s="1203">
        <v>1176800</v>
      </c>
      <c r="J7" s="1203">
        <v>1133700</v>
      </c>
      <c r="K7" s="1204">
        <v>1138000</v>
      </c>
      <c r="L7" s="1183">
        <f aca="true" t="shared" si="1" ref="L7:L24">SUM(M7:P7)</f>
        <v>0</v>
      </c>
      <c r="M7" s="1183">
        <v>0</v>
      </c>
      <c r="N7" s="1183">
        <v>0</v>
      </c>
      <c r="O7" s="1183">
        <v>0</v>
      </c>
      <c r="P7" s="1184">
        <v>0</v>
      </c>
      <c r="Q7" s="1205">
        <f t="shared" si="0"/>
        <v>0</v>
      </c>
    </row>
    <row r="8" spans="1:19" s="1011" customFormat="1" ht="39.75" customHeight="1">
      <c r="A8" s="1199" t="s">
        <v>606</v>
      </c>
      <c r="B8" s="1179">
        <v>801</v>
      </c>
      <c r="C8" s="1179">
        <v>80101</v>
      </c>
      <c r="D8" s="1180" t="s">
        <v>31</v>
      </c>
      <c r="E8" s="1180" t="s">
        <v>32</v>
      </c>
      <c r="F8" s="1186" t="s">
        <v>33</v>
      </c>
      <c r="G8" s="1179">
        <v>2008</v>
      </c>
      <c r="H8" s="1179">
        <v>2008</v>
      </c>
      <c r="I8" s="1181">
        <v>2500</v>
      </c>
      <c r="J8" s="1181">
        <v>2500</v>
      </c>
      <c r="K8" s="1182">
        <v>2500</v>
      </c>
      <c r="L8" s="1183">
        <f t="shared" si="1"/>
        <v>0</v>
      </c>
      <c r="M8" s="1196">
        <v>0</v>
      </c>
      <c r="N8" s="1196">
        <v>0</v>
      </c>
      <c r="O8" s="1196">
        <v>0</v>
      </c>
      <c r="P8" s="1197">
        <v>0</v>
      </c>
      <c r="Q8" s="1185">
        <f t="shared" si="0"/>
        <v>0</v>
      </c>
      <c r="R8" s="1187"/>
      <c r="S8" s="1187"/>
    </row>
    <row r="9" spans="1:21" s="510" customFormat="1" ht="39.75" customHeight="1">
      <c r="A9" s="1199" t="s">
        <v>607</v>
      </c>
      <c r="B9" s="1200">
        <v>853</v>
      </c>
      <c r="C9" s="1200">
        <v>85395</v>
      </c>
      <c r="D9" s="1201" t="s">
        <v>34</v>
      </c>
      <c r="E9" s="1201" t="s">
        <v>35</v>
      </c>
      <c r="F9" s="1213" t="s">
        <v>36</v>
      </c>
      <c r="G9" s="1200">
        <v>2008</v>
      </c>
      <c r="H9" s="1200">
        <v>2008</v>
      </c>
      <c r="I9" s="1203">
        <v>315246</v>
      </c>
      <c r="J9" s="1203">
        <v>315246</v>
      </c>
      <c r="K9" s="1204">
        <v>315246</v>
      </c>
      <c r="L9" s="1183">
        <f>SUM(M9:P9)</f>
        <v>166402.29999999996</v>
      </c>
      <c r="M9" s="1183">
        <v>20844</v>
      </c>
      <c r="N9" s="1183">
        <v>0</v>
      </c>
      <c r="O9" s="1183">
        <f>44256.34+6877.99+1060.74+19553.37+28730.37+34108.63+633.33+149.25+2163.05</f>
        <v>137533.06999999995</v>
      </c>
      <c r="P9" s="1184">
        <f>2605.48+333.25+62.43+1151.16+1691.45+2008.05+37.28+8.78+127.35</f>
        <v>8025.23</v>
      </c>
      <c r="Q9" s="1205">
        <f t="shared" si="0"/>
        <v>0.5278490448728927</v>
      </c>
      <c r="R9" s="1214"/>
      <c r="S9" s="1214"/>
      <c r="U9" s="1215"/>
    </row>
    <row r="10" spans="1:17" s="1206" customFormat="1" ht="54.75" customHeight="1">
      <c r="A10" s="1199" t="s">
        <v>608</v>
      </c>
      <c r="B10" s="1200">
        <v>853</v>
      </c>
      <c r="C10" s="1200">
        <v>85395</v>
      </c>
      <c r="D10" s="1201" t="s">
        <v>34</v>
      </c>
      <c r="E10" s="1201" t="s">
        <v>37</v>
      </c>
      <c r="F10" s="1202" t="s">
        <v>38</v>
      </c>
      <c r="G10" s="1200">
        <v>2008</v>
      </c>
      <c r="H10" s="1200">
        <v>2009</v>
      </c>
      <c r="I10" s="1203">
        <v>465066</v>
      </c>
      <c r="J10" s="1203">
        <v>465066</v>
      </c>
      <c r="K10" s="1204">
        <v>180178</v>
      </c>
      <c r="L10" s="1183">
        <f t="shared" si="1"/>
        <v>6500.62</v>
      </c>
      <c r="M10" s="1196">
        <v>0</v>
      </c>
      <c r="N10" s="1196">
        <v>0</v>
      </c>
      <c r="O10" s="1183">
        <f>501.78+4386.61+611.63+25.51</f>
        <v>5525.53</v>
      </c>
      <c r="P10" s="1184">
        <f>88.55+774.11+107.93+4.5</f>
        <v>975.0899999999999</v>
      </c>
      <c r="Q10" s="1205">
        <f t="shared" si="0"/>
        <v>0.03607887755441841</v>
      </c>
    </row>
    <row r="11" spans="1:17" s="1206" customFormat="1" ht="39.75" customHeight="1">
      <c r="A11" s="1199" t="s">
        <v>609</v>
      </c>
      <c r="B11" s="1200">
        <v>853</v>
      </c>
      <c r="C11" s="1200">
        <v>85395</v>
      </c>
      <c r="D11" s="1201" t="s">
        <v>34</v>
      </c>
      <c r="E11" s="1201" t="s">
        <v>39</v>
      </c>
      <c r="F11" s="1202" t="s">
        <v>38</v>
      </c>
      <c r="G11" s="1200">
        <v>2008</v>
      </c>
      <c r="H11" s="1200">
        <v>2009</v>
      </c>
      <c r="I11" s="1203">
        <v>47889</v>
      </c>
      <c r="J11" s="1203">
        <v>47889</v>
      </c>
      <c r="K11" s="1204">
        <v>26469</v>
      </c>
      <c r="L11" s="1183">
        <f t="shared" si="1"/>
        <v>7208.060000000001</v>
      </c>
      <c r="M11" s="1183">
        <v>0</v>
      </c>
      <c r="N11" s="1183">
        <v>0</v>
      </c>
      <c r="O11" s="1183">
        <f>1113.48+1275+3559.8+153.06+25.51</f>
        <v>6126.850000000001</v>
      </c>
      <c r="P11" s="1184">
        <f>196.5+225+628.2+27.01+4.5</f>
        <v>1081.21</v>
      </c>
      <c r="Q11" s="1205">
        <f t="shared" si="0"/>
        <v>0.2723208281385773</v>
      </c>
    </row>
    <row r="12" spans="1:17" s="1206" customFormat="1" ht="39.75" customHeight="1">
      <c r="A12" s="1199" t="s">
        <v>610</v>
      </c>
      <c r="B12" s="1200">
        <v>853</v>
      </c>
      <c r="C12" s="1200">
        <v>85395</v>
      </c>
      <c r="D12" s="1201" t="s">
        <v>34</v>
      </c>
      <c r="E12" s="1201" t="s">
        <v>40</v>
      </c>
      <c r="F12" s="1202" t="s">
        <v>38</v>
      </c>
      <c r="G12" s="1200">
        <v>2008</v>
      </c>
      <c r="H12" s="1200">
        <v>2009</v>
      </c>
      <c r="I12" s="1203">
        <v>48389</v>
      </c>
      <c r="J12" s="1203">
        <v>48389</v>
      </c>
      <c r="K12" s="1204">
        <v>26969</v>
      </c>
      <c r="L12" s="1183">
        <f t="shared" si="1"/>
        <v>6900.06</v>
      </c>
      <c r="M12" s="1183">
        <v>0</v>
      </c>
      <c r="N12" s="1183">
        <v>0</v>
      </c>
      <c r="O12" s="1183">
        <f>1113.48+1275+3298+153.06+25.51</f>
        <v>5865.05</v>
      </c>
      <c r="P12" s="1184">
        <f>196.5+225+582+27.01+4.5</f>
        <v>1035.01</v>
      </c>
      <c r="Q12" s="1205">
        <f t="shared" si="0"/>
        <v>0.2558515332418703</v>
      </c>
    </row>
    <row r="13" spans="1:17" s="1206" customFormat="1" ht="39.75" customHeight="1">
      <c r="A13" s="1199" t="s">
        <v>611</v>
      </c>
      <c r="B13" s="1200">
        <v>853</v>
      </c>
      <c r="C13" s="1200">
        <v>85395</v>
      </c>
      <c r="D13" s="1201" t="s">
        <v>34</v>
      </c>
      <c r="E13" s="1201" t="s">
        <v>41</v>
      </c>
      <c r="F13" s="1202" t="s">
        <v>38</v>
      </c>
      <c r="G13" s="1200">
        <v>2008</v>
      </c>
      <c r="H13" s="1200">
        <v>2009</v>
      </c>
      <c r="I13" s="1203">
        <v>47843</v>
      </c>
      <c r="J13" s="1203">
        <v>47843</v>
      </c>
      <c r="K13" s="1204">
        <v>21789</v>
      </c>
      <c r="L13" s="1183">
        <f t="shared" si="1"/>
        <v>9327.51</v>
      </c>
      <c r="M13" s="1183">
        <v>0</v>
      </c>
      <c r="N13" s="1183">
        <v>0</v>
      </c>
      <c r="O13" s="1183">
        <f>1700+2845.57+2549.74+680+153.06</f>
        <v>7928.37</v>
      </c>
      <c r="P13" s="1184">
        <f>300+502.17+449.96+120+27.01</f>
        <v>1399.14</v>
      </c>
      <c r="Q13" s="1205">
        <f t="shared" si="0"/>
        <v>0.42808343659644776</v>
      </c>
    </row>
    <row r="14" spans="1:17" s="1206" customFormat="1" ht="39.75" customHeight="1">
      <c r="A14" s="1199" t="s">
        <v>612</v>
      </c>
      <c r="B14" s="1200">
        <v>853</v>
      </c>
      <c r="C14" s="1200">
        <v>85395</v>
      </c>
      <c r="D14" s="1201" t="s">
        <v>34</v>
      </c>
      <c r="E14" s="1201" t="s">
        <v>42</v>
      </c>
      <c r="F14" s="1202" t="s">
        <v>38</v>
      </c>
      <c r="G14" s="1200">
        <v>2008</v>
      </c>
      <c r="H14" s="1200">
        <v>2009</v>
      </c>
      <c r="I14" s="1203">
        <v>49549</v>
      </c>
      <c r="J14" s="1203">
        <v>49549</v>
      </c>
      <c r="K14" s="1204">
        <v>27449</v>
      </c>
      <c r="L14" s="1183">
        <f t="shared" si="1"/>
        <v>7947.33</v>
      </c>
      <c r="M14" s="1183">
        <v>0</v>
      </c>
      <c r="N14" s="1183">
        <v>0</v>
      </c>
      <c r="O14" s="1183">
        <f>1143.46+1275+4158.2+153.06+25.51</f>
        <v>6755.2300000000005</v>
      </c>
      <c r="P14" s="1184">
        <f>201.79+225+733.8+27.01+4.5</f>
        <v>1192.1</v>
      </c>
      <c r="Q14" s="1205">
        <f t="shared" si="0"/>
        <v>0.2895307661481293</v>
      </c>
    </row>
    <row r="15" spans="1:17" s="1206" customFormat="1" ht="39.75" customHeight="1">
      <c r="A15" s="1199" t="s">
        <v>613</v>
      </c>
      <c r="B15" s="1200">
        <v>853</v>
      </c>
      <c r="C15" s="1200">
        <v>85395</v>
      </c>
      <c r="D15" s="1201" t="s">
        <v>34</v>
      </c>
      <c r="E15" s="1201" t="s">
        <v>43</v>
      </c>
      <c r="F15" s="1202" t="s">
        <v>38</v>
      </c>
      <c r="G15" s="1200">
        <v>2008</v>
      </c>
      <c r="H15" s="1200">
        <v>2009</v>
      </c>
      <c r="I15" s="1203">
        <v>48389</v>
      </c>
      <c r="J15" s="1203">
        <v>48389</v>
      </c>
      <c r="K15" s="1204">
        <v>26969</v>
      </c>
      <c r="L15" s="1183">
        <f t="shared" si="1"/>
        <v>7620.06</v>
      </c>
      <c r="M15" s="1183">
        <v>0</v>
      </c>
      <c r="N15" s="1183">
        <v>0</v>
      </c>
      <c r="O15" s="1183">
        <f>1113.48+1275+3910+153.06+25.51</f>
        <v>6477.05</v>
      </c>
      <c r="P15" s="1184">
        <f>196.5+225+690+27.01+4.5</f>
        <v>1143.01</v>
      </c>
      <c r="Q15" s="1205">
        <f>SUM(L15/K15)</f>
        <v>0.2825488523860729</v>
      </c>
    </row>
    <row r="16" spans="1:17" s="1206" customFormat="1" ht="39.75" customHeight="1">
      <c r="A16" s="1199" t="s">
        <v>614</v>
      </c>
      <c r="B16" s="1200">
        <v>853</v>
      </c>
      <c r="C16" s="1200">
        <v>85395</v>
      </c>
      <c r="D16" s="1201" t="s">
        <v>34</v>
      </c>
      <c r="E16" s="1201" t="s">
        <v>44</v>
      </c>
      <c r="F16" s="1202" t="s">
        <v>38</v>
      </c>
      <c r="G16" s="1200">
        <v>2008</v>
      </c>
      <c r="H16" s="1200">
        <v>2009</v>
      </c>
      <c r="I16" s="1203">
        <v>49549</v>
      </c>
      <c r="J16" s="1203">
        <f>I16</f>
        <v>49549</v>
      </c>
      <c r="K16" s="1204">
        <v>27449</v>
      </c>
      <c r="L16" s="1183">
        <f t="shared" si="1"/>
        <v>6081.52</v>
      </c>
      <c r="M16" s="1183">
        <v>0</v>
      </c>
      <c r="N16" s="1183">
        <v>0</v>
      </c>
      <c r="O16" s="1183">
        <f>1053.52+1275+2662.2+153.06+25.51</f>
        <v>5169.29</v>
      </c>
      <c r="P16" s="1184">
        <f>185.92+225+469.8+27.01+4.5</f>
        <v>912.23</v>
      </c>
      <c r="Q16" s="1205">
        <f t="shared" si="0"/>
        <v>0.2215570694742978</v>
      </c>
    </row>
    <row r="17" spans="1:17" s="1206" customFormat="1" ht="39.75" customHeight="1">
      <c r="A17" s="1199" t="s">
        <v>615</v>
      </c>
      <c r="B17" s="1200">
        <v>853</v>
      </c>
      <c r="C17" s="1200">
        <v>85395</v>
      </c>
      <c r="D17" s="1201" t="s">
        <v>34</v>
      </c>
      <c r="E17" s="1201" t="s">
        <v>45</v>
      </c>
      <c r="F17" s="1202" t="s">
        <v>38</v>
      </c>
      <c r="G17" s="1200">
        <v>2008</v>
      </c>
      <c r="H17" s="1200">
        <v>2009</v>
      </c>
      <c r="I17" s="1203">
        <v>47843</v>
      </c>
      <c r="J17" s="1203">
        <v>47843</v>
      </c>
      <c r="K17" s="1204">
        <v>21789</v>
      </c>
      <c r="L17" s="1183">
        <f t="shared" si="1"/>
        <v>9148.48</v>
      </c>
      <c r="M17" s="1183">
        <v>0</v>
      </c>
      <c r="N17" s="1183">
        <v>0</v>
      </c>
      <c r="O17" s="1183">
        <f>1700+2694.88+2548.27+680+153.06</f>
        <v>7776.21</v>
      </c>
      <c r="P17" s="1184">
        <f>300+475.56+449.7+120+27.01</f>
        <v>1372.27</v>
      </c>
      <c r="Q17" s="1205">
        <f t="shared" si="0"/>
        <v>0.41986690531919774</v>
      </c>
    </row>
    <row r="18" spans="1:17" s="1206" customFormat="1" ht="39.75" customHeight="1">
      <c r="A18" s="1199" t="s">
        <v>616</v>
      </c>
      <c r="B18" s="1200">
        <v>853</v>
      </c>
      <c r="C18" s="1200">
        <v>85395</v>
      </c>
      <c r="D18" s="1201" t="s">
        <v>34</v>
      </c>
      <c r="E18" s="1201" t="s">
        <v>46</v>
      </c>
      <c r="F18" s="1213" t="s">
        <v>38</v>
      </c>
      <c r="G18" s="1200">
        <v>2008</v>
      </c>
      <c r="H18" s="1200">
        <v>2009</v>
      </c>
      <c r="I18" s="1203">
        <v>47889</v>
      </c>
      <c r="J18" s="1203">
        <f>I18</f>
        <v>47889</v>
      </c>
      <c r="K18" s="1204">
        <v>26469</v>
      </c>
      <c r="L18" s="1183">
        <f t="shared" si="1"/>
        <v>7405.650000000001</v>
      </c>
      <c r="M18" s="1183">
        <v>0</v>
      </c>
      <c r="N18" s="1183">
        <v>0</v>
      </c>
      <c r="O18" s="1183">
        <f>1084.23+1275+3757+153.06+25.51</f>
        <v>6294.8</v>
      </c>
      <c r="P18" s="1184">
        <f>191.34+225+663+27.01+4.5</f>
        <v>1110.8500000000001</v>
      </c>
      <c r="Q18" s="1205">
        <f t="shared" si="0"/>
        <v>0.27978578714722885</v>
      </c>
    </row>
    <row r="19" spans="1:17" s="1206" customFormat="1" ht="39.75" customHeight="1">
      <c r="A19" s="1199" t="s">
        <v>617</v>
      </c>
      <c r="B19" s="1200">
        <v>853</v>
      </c>
      <c r="C19" s="1200">
        <v>85395</v>
      </c>
      <c r="D19" s="1201" t="s">
        <v>34</v>
      </c>
      <c r="E19" s="1201" t="s">
        <v>47</v>
      </c>
      <c r="F19" s="1213" t="s">
        <v>38</v>
      </c>
      <c r="G19" s="1200">
        <v>2008</v>
      </c>
      <c r="H19" s="1200">
        <v>2009</v>
      </c>
      <c r="I19" s="1203">
        <v>47889</v>
      </c>
      <c r="J19" s="1203">
        <v>47889</v>
      </c>
      <c r="K19" s="1204">
        <v>26469</v>
      </c>
      <c r="L19" s="1183">
        <f t="shared" si="1"/>
        <v>7232.310000000001</v>
      </c>
      <c r="M19" s="1183">
        <v>0</v>
      </c>
      <c r="N19" s="1183">
        <v>0</v>
      </c>
      <c r="O19" s="1183">
        <f>1134.09+1275+3559.8+153.06+25.51</f>
        <v>6147.460000000001</v>
      </c>
      <c r="P19" s="1184">
        <f>200.14+225+628.2+27.01+4.5</f>
        <v>1084.8500000000001</v>
      </c>
      <c r="Q19" s="1205">
        <f t="shared" si="0"/>
        <v>0.27323699421965325</v>
      </c>
    </row>
    <row r="20" spans="1:17" s="1206" customFormat="1" ht="39.75" customHeight="1">
      <c r="A20" s="1199" t="s">
        <v>618</v>
      </c>
      <c r="B20" s="1200">
        <v>853</v>
      </c>
      <c r="C20" s="1200">
        <v>85395</v>
      </c>
      <c r="D20" s="1201" t="s">
        <v>34</v>
      </c>
      <c r="E20" s="1201" t="s">
        <v>48</v>
      </c>
      <c r="F20" s="1202" t="s">
        <v>38</v>
      </c>
      <c r="G20" s="1200">
        <v>2008</v>
      </c>
      <c r="H20" s="1200">
        <v>2009</v>
      </c>
      <c r="I20" s="1203">
        <v>45630</v>
      </c>
      <c r="J20" s="1203">
        <v>45630</v>
      </c>
      <c r="K20" s="1204">
        <v>20142</v>
      </c>
      <c r="L20" s="1183">
        <f t="shared" si="1"/>
        <v>3848.71</v>
      </c>
      <c r="M20" s="1183">
        <v>0</v>
      </c>
      <c r="N20" s="1183">
        <v>0</v>
      </c>
      <c r="O20" s="1183">
        <f>75.9+2380+815.5</f>
        <v>3271.4</v>
      </c>
      <c r="P20" s="1184">
        <f>13.4+420+143.91</f>
        <v>577.31</v>
      </c>
      <c r="Q20" s="1205">
        <f t="shared" si="0"/>
        <v>0.19107884023433622</v>
      </c>
    </row>
    <row r="21" spans="1:17" s="1206" customFormat="1" ht="39.75" customHeight="1">
      <c r="A21" s="1199" t="s">
        <v>619</v>
      </c>
      <c r="B21" s="1200">
        <v>853</v>
      </c>
      <c r="C21" s="1200">
        <v>85395</v>
      </c>
      <c r="D21" s="1201" t="s">
        <v>34</v>
      </c>
      <c r="E21" s="1201" t="s">
        <v>49</v>
      </c>
      <c r="F21" s="1202" t="s">
        <v>38</v>
      </c>
      <c r="G21" s="1200">
        <v>2008</v>
      </c>
      <c r="H21" s="1200">
        <v>2009</v>
      </c>
      <c r="I21" s="1203">
        <v>48689</v>
      </c>
      <c r="J21" s="1203">
        <v>48689</v>
      </c>
      <c r="K21" s="1204">
        <v>27169</v>
      </c>
      <c r="L21" s="1183">
        <f t="shared" si="1"/>
        <v>5698.670000000001</v>
      </c>
      <c r="M21" s="1183">
        <v>0</v>
      </c>
      <c r="N21" s="1183">
        <v>0</v>
      </c>
      <c r="O21" s="1183">
        <f>1027.3+1275+2363+153.06+25.51</f>
        <v>4843.870000000001</v>
      </c>
      <c r="P21" s="1184">
        <f>181.29+225+417+27.01+4.5</f>
        <v>854.8</v>
      </c>
      <c r="Q21" s="1205">
        <f t="shared" si="0"/>
        <v>0.20974897861533368</v>
      </c>
    </row>
    <row r="22" spans="1:17" s="1206" customFormat="1" ht="39.75" customHeight="1">
      <c r="A22" s="1199" t="s">
        <v>620</v>
      </c>
      <c r="B22" s="1200">
        <v>853</v>
      </c>
      <c r="C22" s="1200">
        <v>85395</v>
      </c>
      <c r="D22" s="1201" t="s">
        <v>34</v>
      </c>
      <c r="E22" s="1201" t="s">
        <v>50</v>
      </c>
      <c r="F22" s="1202" t="s">
        <v>38</v>
      </c>
      <c r="G22" s="1200">
        <v>2008</v>
      </c>
      <c r="H22" s="1200">
        <v>2009</v>
      </c>
      <c r="I22" s="1203">
        <v>47889</v>
      </c>
      <c r="J22" s="1203">
        <v>47889</v>
      </c>
      <c r="K22" s="1204">
        <v>26469</v>
      </c>
      <c r="L22" s="1183">
        <f t="shared" si="1"/>
        <v>6902.35</v>
      </c>
      <c r="M22" s="1183">
        <v>0</v>
      </c>
      <c r="N22" s="1183">
        <v>0</v>
      </c>
      <c r="O22" s="1183">
        <f>1152.82+1275+3260.6+153.06+25.51</f>
        <v>5866.990000000001</v>
      </c>
      <c r="P22" s="1184">
        <f>203.45+225+575.4+27.01+4.5</f>
        <v>1035.36</v>
      </c>
      <c r="Q22" s="1205">
        <f t="shared" si="0"/>
        <v>0.2607710907098871</v>
      </c>
    </row>
    <row r="23" spans="1:17" s="1206" customFormat="1" ht="39.75" customHeight="1">
      <c r="A23" s="1199" t="s">
        <v>621</v>
      </c>
      <c r="B23" s="1227">
        <v>900</v>
      </c>
      <c r="C23" s="1227">
        <v>90001</v>
      </c>
      <c r="D23" s="1228" t="s">
        <v>25</v>
      </c>
      <c r="E23" s="1228" t="s">
        <v>51</v>
      </c>
      <c r="F23" s="1229" t="s">
        <v>26</v>
      </c>
      <c r="G23" s="1227">
        <v>2007</v>
      </c>
      <c r="H23" s="1227">
        <v>2009</v>
      </c>
      <c r="I23" s="1230">
        <v>1874432</v>
      </c>
      <c r="J23" s="1230">
        <v>1800000</v>
      </c>
      <c r="K23" s="1231">
        <v>1265000</v>
      </c>
      <c r="L23" s="1232">
        <f t="shared" si="1"/>
        <v>0</v>
      </c>
      <c r="M23" s="1232">
        <v>0</v>
      </c>
      <c r="N23" s="1232">
        <v>0</v>
      </c>
      <c r="O23" s="1232">
        <v>0</v>
      </c>
      <c r="P23" s="1233">
        <v>0</v>
      </c>
      <c r="Q23" s="1234">
        <f t="shared" si="0"/>
        <v>0</v>
      </c>
    </row>
    <row r="24" spans="1:17" s="1206" customFormat="1" ht="39.75" customHeight="1" thickBot="1">
      <c r="A24" s="1199" t="s">
        <v>622</v>
      </c>
      <c r="B24" s="1207">
        <v>921</v>
      </c>
      <c r="C24" s="1207">
        <v>92109</v>
      </c>
      <c r="D24" s="1208" t="s">
        <v>52</v>
      </c>
      <c r="E24" s="1208" t="s">
        <v>53</v>
      </c>
      <c r="F24" s="1209" t="s">
        <v>26</v>
      </c>
      <c r="G24" s="1207">
        <v>2006</v>
      </c>
      <c r="H24" s="1207">
        <v>2009</v>
      </c>
      <c r="I24" s="1210">
        <v>1070000</v>
      </c>
      <c r="J24" s="1210">
        <v>1000000</v>
      </c>
      <c r="K24" s="1212">
        <v>510000</v>
      </c>
      <c r="L24" s="1177">
        <f t="shared" si="1"/>
        <v>9760</v>
      </c>
      <c r="M24" s="1177">
        <v>9760</v>
      </c>
      <c r="N24" s="1177">
        <v>0</v>
      </c>
      <c r="O24" s="1177">
        <v>0</v>
      </c>
      <c r="P24" s="1178">
        <v>0</v>
      </c>
      <c r="Q24" s="1211">
        <f t="shared" si="0"/>
        <v>0.019137254901960783</v>
      </c>
    </row>
    <row r="25" spans="1:17" s="1011" customFormat="1" ht="39.75" customHeight="1" thickBot="1">
      <c r="A25" s="1474" t="s">
        <v>83</v>
      </c>
      <c r="B25" s="1475"/>
      <c r="C25" s="1475"/>
      <c r="D25" s="1475"/>
      <c r="E25" s="1475"/>
      <c r="F25" s="1475"/>
      <c r="G25" s="1475"/>
      <c r="H25" s="1475"/>
      <c r="I25" s="1188">
        <f>SUM(I6:I22,I23:I24)</f>
        <v>6626381</v>
      </c>
      <c r="J25" s="1188">
        <f>SUM(J6:J22,J23:J24)</f>
        <v>6436849</v>
      </c>
      <c r="K25" s="1188">
        <f>SUM(K6:K22,K23:K24)</f>
        <v>3738525</v>
      </c>
      <c r="L25" s="1189">
        <f>SUM(M25:P25)</f>
        <v>271483.6299999999</v>
      </c>
      <c r="M25" s="1190">
        <f>SUM(M6:M22,M23:M24)</f>
        <v>31129</v>
      </c>
      <c r="N25" s="1190">
        <f>SUM(N6:N22,N23:N24)</f>
        <v>0</v>
      </c>
      <c r="O25" s="1190">
        <f>SUM(O6:O22,O23:O24)</f>
        <v>218556.1699999999</v>
      </c>
      <c r="P25" s="1191">
        <f>SUM(P6:P22,P23:P24)</f>
        <v>21798.459999999995</v>
      </c>
      <c r="Q25" s="1192">
        <f t="shared" si="0"/>
        <v>0.07261784527320264</v>
      </c>
    </row>
    <row r="28" spans="11:12" ht="12">
      <c r="K28" s="1193"/>
      <c r="L28" s="1198"/>
    </row>
  </sheetData>
  <mergeCells count="15">
    <mergeCell ref="A25:H25"/>
    <mergeCell ref="K3:K4"/>
    <mergeCell ref="L3:L4"/>
    <mergeCell ref="M3:P3"/>
    <mergeCell ref="J3:J4"/>
    <mergeCell ref="Q3:Q4"/>
    <mergeCell ref="A1:K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49" right="0.38" top="0.56" bottom="0.69" header="0.5" footer="0.5"/>
  <pageSetup fitToHeight="1" fitToWidth="1" horizontalDpi="600" verticalDpi="600" orientation="landscape" paperSize="9" scale="56" r:id="rId1"/>
  <colBreaks count="2" manualBreakCount="2">
    <brk id="17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73"/>
  <sheetViews>
    <sheetView showGridLines="0" view="pageBreakPreview" zoomScaleSheetLayoutView="100" workbookViewId="0" topLeftCell="A1">
      <selection activeCell="A1" sqref="A1:D1"/>
    </sheetView>
  </sheetViews>
  <sheetFormatPr defaultColWidth="9.00390625" defaultRowHeight="12"/>
  <cols>
    <col min="1" max="1" width="74.25390625" style="53" customWidth="1"/>
    <col min="2" max="2" width="18.00390625" style="83" customWidth="1"/>
    <col min="3" max="3" width="18.00390625" style="101" customWidth="1"/>
    <col min="4" max="4" width="12.375" style="53" customWidth="1"/>
    <col min="5" max="5" width="10.875" style="510" bestFit="1" customWidth="1"/>
    <col min="6" max="6" width="13.375" style="510" bestFit="1" customWidth="1"/>
    <col min="7" max="7" width="14.25390625" style="510" customWidth="1"/>
    <col min="8" max="8" width="9.875" style="510" bestFit="1" customWidth="1"/>
    <col min="9" max="9" width="9.125" style="511" customWidth="1"/>
    <col min="10" max="16384" width="9.125" style="53" customWidth="1"/>
  </cols>
  <sheetData>
    <row r="1" spans="1:9" s="998" customFormat="1" ht="15.75" customHeight="1">
      <c r="A1" s="1346" t="s">
        <v>403</v>
      </c>
      <c r="B1" s="1346"/>
      <c r="C1" s="1346"/>
      <c r="D1" s="1346"/>
      <c r="E1" s="1216"/>
      <c r="F1" s="1216"/>
      <c r="G1" s="1216"/>
      <c r="H1" s="1216"/>
      <c r="I1" s="1217"/>
    </row>
    <row r="2" spans="1:4" ht="14.25" customHeight="1">
      <c r="A2" s="1340"/>
      <c r="B2" s="1340"/>
      <c r="C2" s="1340"/>
      <c r="D2" s="1340"/>
    </row>
    <row r="3" spans="1:4" ht="10.5" customHeight="1" thickBot="1">
      <c r="A3" s="54"/>
      <c r="B3" s="258"/>
      <c r="C3" s="156"/>
      <c r="D3" s="267" t="s">
        <v>57</v>
      </c>
    </row>
    <row r="4" spans="1:4" ht="15" customHeight="1">
      <c r="A4" s="261" t="s">
        <v>217</v>
      </c>
      <c r="B4" s="240" t="s">
        <v>60</v>
      </c>
      <c r="C4" s="240" t="s">
        <v>341</v>
      </c>
      <c r="D4" s="1341" t="s">
        <v>342</v>
      </c>
    </row>
    <row r="5" spans="1:4" ht="12" customHeight="1">
      <c r="A5" s="148"/>
      <c r="B5" s="241"/>
      <c r="C5" s="241"/>
      <c r="D5" s="1338"/>
    </row>
    <row r="6" spans="1:4" ht="12.75" customHeight="1" thickBot="1">
      <c r="A6" s="149">
        <v>1</v>
      </c>
      <c r="B6" s="242">
        <v>2</v>
      </c>
      <c r="C6" s="242">
        <v>3</v>
      </c>
      <c r="D6" s="97">
        <v>4</v>
      </c>
    </row>
    <row r="7" spans="1:7" ht="9.75" customHeight="1">
      <c r="A7" s="55"/>
      <c r="B7" s="259"/>
      <c r="C7" s="238"/>
      <c r="D7" s="95"/>
      <c r="F7" s="512"/>
      <c r="G7" s="512"/>
    </row>
    <row r="8" spans="1:8" ht="15">
      <c r="A8" s="56" t="s">
        <v>218</v>
      </c>
      <c r="B8" s="243">
        <f>SUM(B10,B31,B37,B40,B73,)</f>
        <v>113399453.31</v>
      </c>
      <c r="C8" s="243">
        <f>SUM(C10,C31,C37,C40,C73,)</f>
        <v>86219524.62</v>
      </c>
      <c r="D8" s="94">
        <f>SUM(C8/B8)</f>
        <v>0.7603169336654715</v>
      </c>
      <c r="F8" s="512"/>
      <c r="G8" s="512"/>
      <c r="H8" s="512"/>
    </row>
    <row r="9" spans="1:9" s="58" customFormat="1" ht="14.25">
      <c r="A9" s="57"/>
      <c r="B9" s="260"/>
      <c r="C9" s="239"/>
      <c r="D9" s="99"/>
      <c r="E9" s="510"/>
      <c r="F9" s="510"/>
      <c r="G9" s="512"/>
      <c r="H9" s="510"/>
      <c r="I9" s="510"/>
    </row>
    <row r="10" spans="1:7" ht="15">
      <c r="A10" s="59" t="s">
        <v>219</v>
      </c>
      <c r="B10" s="244">
        <f>SUM(B11:B19,B23:B30)</f>
        <v>60071689</v>
      </c>
      <c r="C10" s="244">
        <f>SUM(C11:C19,C23:C30)</f>
        <v>48690008.900000006</v>
      </c>
      <c r="D10" s="100">
        <f aca="true" t="shared" si="0" ref="D10:D19">SUM(C10/B10)</f>
        <v>0.8105317115355289</v>
      </c>
      <c r="F10" s="513"/>
      <c r="G10" s="513"/>
    </row>
    <row r="11" spans="1:7" ht="14.25">
      <c r="A11" s="60" t="s">
        <v>220</v>
      </c>
      <c r="B11" s="255">
        <f>32800000+2100000</f>
        <v>34900000</v>
      </c>
      <c r="C11" s="255">
        <f>26183260.78+2088517.32</f>
        <v>28271778.1</v>
      </c>
      <c r="D11" s="96">
        <f t="shared" si="0"/>
        <v>0.8100796017191978</v>
      </c>
      <c r="F11" s="513"/>
      <c r="G11" s="512"/>
    </row>
    <row r="12" spans="1:4" ht="14.25">
      <c r="A12" s="60" t="s">
        <v>221</v>
      </c>
      <c r="B12" s="255">
        <f>170000+160000</f>
        <v>330000</v>
      </c>
      <c r="C12" s="255">
        <f>169621.5+89240.9</f>
        <v>258862.4</v>
      </c>
      <c r="D12" s="96">
        <f t="shared" si="0"/>
        <v>0.7844315151515151</v>
      </c>
    </row>
    <row r="13" spans="1:7" ht="14.25">
      <c r="A13" s="60" t="s">
        <v>222</v>
      </c>
      <c r="B13" s="255">
        <f>67000</f>
        <v>67000</v>
      </c>
      <c r="C13" s="255">
        <v>54223.64</v>
      </c>
      <c r="D13" s="96">
        <f t="shared" si="0"/>
        <v>0.8093080597014926</v>
      </c>
      <c r="G13" s="513"/>
    </row>
    <row r="14" spans="1:4" ht="14.25">
      <c r="A14" s="60" t="s">
        <v>223</v>
      </c>
      <c r="B14" s="255">
        <f>6200</f>
        <v>6200</v>
      </c>
      <c r="C14" s="255">
        <v>2368.46</v>
      </c>
      <c r="D14" s="96">
        <f t="shared" si="0"/>
        <v>0.3820096774193548</v>
      </c>
    </row>
    <row r="15" spans="1:4" ht="14.25">
      <c r="A15" s="60" t="s">
        <v>224</v>
      </c>
      <c r="B15" s="255">
        <v>193406</v>
      </c>
      <c r="C15" s="255">
        <v>146296</v>
      </c>
      <c r="D15" s="96">
        <f t="shared" si="0"/>
        <v>0.7564191390132674</v>
      </c>
    </row>
    <row r="16" spans="1:4" ht="14.25">
      <c r="A16" s="60" t="s">
        <v>225</v>
      </c>
      <c r="B16" s="255">
        <f>150000</f>
        <v>150000</v>
      </c>
      <c r="C16" s="255">
        <v>82470.21</v>
      </c>
      <c r="D16" s="96">
        <f t="shared" si="0"/>
        <v>0.5498014</v>
      </c>
    </row>
    <row r="17" spans="1:4" ht="14.25">
      <c r="A17" s="60" t="s">
        <v>226</v>
      </c>
      <c r="B17" s="255">
        <v>150000</v>
      </c>
      <c r="C17" s="255">
        <v>115941.27</v>
      </c>
      <c r="D17" s="96">
        <f t="shared" si="0"/>
        <v>0.7729418</v>
      </c>
    </row>
    <row r="18" spans="1:4" ht="14.25">
      <c r="A18" s="60" t="s">
        <v>227</v>
      </c>
      <c r="B18" s="255">
        <f>16937+1000000</f>
        <v>1016937</v>
      </c>
      <c r="C18" s="255">
        <f>20179.4+1583078.15</f>
        <v>1603257.5499999998</v>
      </c>
      <c r="D18" s="96">
        <f t="shared" si="0"/>
        <v>1.5765554306707297</v>
      </c>
    </row>
    <row r="19" spans="1:4" ht="14.25">
      <c r="A19" s="60" t="s">
        <v>228</v>
      </c>
      <c r="B19" s="540">
        <f>SUM(B21:B22)</f>
        <v>21147823</v>
      </c>
      <c r="C19" s="540">
        <f>SUM(C21:C22)</f>
        <v>16267528.47</v>
      </c>
      <c r="D19" s="99">
        <f t="shared" si="0"/>
        <v>0.7692294601671293</v>
      </c>
    </row>
    <row r="20" spans="1:4" ht="14.25">
      <c r="A20" s="60" t="s">
        <v>229</v>
      </c>
      <c r="B20" s="255"/>
      <c r="C20" s="237"/>
      <c r="D20" s="96"/>
    </row>
    <row r="21" spans="1:4" ht="14.25">
      <c r="A21" s="60" t="s">
        <v>230</v>
      </c>
      <c r="B21" s="255">
        <v>20000000</v>
      </c>
      <c r="C21" s="255">
        <v>15391265</v>
      </c>
      <c r="D21" s="96">
        <f>SUM(C21/B21)</f>
        <v>0.76956325</v>
      </c>
    </row>
    <row r="22" spans="1:4" ht="14.25">
      <c r="A22" s="60" t="s">
        <v>231</v>
      </c>
      <c r="B22" s="255">
        <v>1147823</v>
      </c>
      <c r="C22" s="255">
        <v>876263.47</v>
      </c>
      <c r="D22" s="96">
        <f>SUM(C22/B22)</f>
        <v>0.7634134095587909</v>
      </c>
    </row>
    <row r="23" spans="1:4" ht="14.25">
      <c r="A23" s="60" t="s">
        <v>232</v>
      </c>
      <c r="B23" s="255">
        <f>48000+226000</f>
        <v>274000</v>
      </c>
      <c r="C23" s="255">
        <f>36547.5+178783.32</f>
        <v>215330.82</v>
      </c>
      <c r="D23" s="96">
        <f>SUM(C23/B23)</f>
        <v>0.7858789051094891</v>
      </c>
    </row>
    <row r="24" spans="1:4" ht="14.25">
      <c r="A24" s="60" t="s">
        <v>233</v>
      </c>
      <c r="B24" s="255">
        <f>190000+700</f>
        <v>190700</v>
      </c>
      <c r="C24" s="255">
        <f>144500.8+555.96</f>
        <v>145056.75999999998</v>
      </c>
      <c r="D24" s="96">
        <f>SUM(C24/B24)</f>
        <v>0.7606542212899842</v>
      </c>
    </row>
    <row r="25" spans="1:4" ht="14.25">
      <c r="A25" s="60" t="s">
        <v>601</v>
      </c>
      <c r="B25" s="255">
        <f>599567</f>
        <v>599567</v>
      </c>
      <c r="C25" s="255">
        <v>623421.82</v>
      </c>
      <c r="D25" s="96">
        <f aca="true" t="shared" si="1" ref="D25:D48">SUM(C25/B25)</f>
        <v>1.03978674610177</v>
      </c>
    </row>
    <row r="26" spans="1:4" ht="14.25">
      <c r="A26" s="60" t="s">
        <v>234</v>
      </c>
      <c r="B26" s="255">
        <f>1700</f>
        <v>1700</v>
      </c>
      <c r="C26" s="255">
        <v>4703.57</v>
      </c>
      <c r="D26" s="96">
        <f t="shared" si="1"/>
        <v>2.766805882352941</v>
      </c>
    </row>
    <row r="27" spans="1:4" ht="14.25">
      <c r="A27" s="60" t="s">
        <v>235</v>
      </c>
      <c r="B27" s="255">
        <f>350000</f>
        <v>350000</v>
      </c>
      <c r="C27" s="255">
        <v>264133.92</v>
      </c>
      <c r="D27" s="96">
        <f t="shared" si="1"/>
        <v>0.7546683428571428</v>
      </c>
    </row>
    <row r="28" spans="1:4" ht="14.25">
      <c r="A28" s="60" t="s">
        <v>236</v>
      </c>
      <c r="B28" s="255">
        <v>590</v>
      </c>
      <c r="C28" s="255">
        <v>960</v>
      </c>
      <c r="D28" s="96">
        <f t="shared" si="1"/>
        <v>1.6271186440677967</v>
      </c>
    </row>
    <row r="29" spans="1:6" ht="14.25">
      <c r="A29" s="163" t="s">
        <v>237</v>
      </c>
      <c r="B29" s="255">
        <f>560000+42000+1966</f>
        <v>603966</v>
      </c>
      <c r="C29" s="255">
        <f>3534.86+512668.49+46661.82</f>
        <v>562865.1699999999</v>
      </c>
      <c r="D29" s="96">
        <f t="shared" si="1"/>
        <v>0.9319484374948257</v>
      </c>
      <c r="F29" s="514"/>
    </row>
    <row r="30" spans="1:8" ht="14.25">
      <c r="A30" s="61" t="s">
        <v>238</v>
      </c>
      <c r="B30" s="540">
        <v>89800</v>
      </c>
      <c r="C30" s="540">
        <v>70810.74</v>
      </c>
      <c r="D30" s="99">
        <f t="shared" si="1"/>
        <v>0.788538307349666</v>
      </c>
      <c r="H30" s="513"/>
    </row>
    <row r="31" spans="1:4" ht="15">
      <c r="A31" s="59" t="s">
        <v>239</v>
      </c>
      <c r="B31" s="244">
        <f>SUM(B32,B33,B35,B36,)</f>
        <v>8229245</v>
      </c>
      <c r="C31" s="244">
        <f>SUM(C32,C33,C35,C36,)</f>
        <v>3778308.81</v>
      </c>
      <c r="D31" s="100">
        <f t="shared" si="1"/>
        <v>0.4591318899850472</v>
      </c>
    </row>
    <row r="32" spans="1:4" ht="14.25">
      <c r="A32" s="60" t="s">
        <v>240</v>
      </c>
      <c r="B32" s="255">
        <v>883000</v>
      </c>
      <c r="C32" s="255">
        <v>959512.47</v>
      </c>
      <c r="D32" s="96">
        <f t="shared" si="1"/>
        <v>1.0866505889014721</v>
      </c>
    </row>
    <row r="33" spans="1:5" ht="14.25">
      <c r="A33" s="60" t="s">
        <v>241</v>
      </c>
      <c r="B33" s="255">
        <v>932874</v>
      </c>
      <c r="C33" s="255">
        <v>803821.22</v>
      </c>
      <c r="D33" s="96">
        <f t="shared" si="1"/>
        <v>0.861661081775245</v>
      </c>
      <c r="E33" s="513"/>
    </row>
    <row r="34" spans="1:4" ht="14.25">
      <c r="A34" s="60" t="s">
        <v>242</v>
      </c>
      <c r="B34" s="255">
        <v>531566</v>
      </c>
      <c r="C34" s="255">
        <v>397336.52</v>
      </c>
      <c r="D34" s="96">
        <f t="shared" si="1"/>
        <v>0.7474829466143433</v>
      </c>
    </row>
    <row r="35" spans="1:4" ht="14.25">
      <c r="A35" s="60" t="s">
        <v>243</v>
      </c>
      <c r="B35" s="255">
        <v>6138000</v>
      </c>
      <c r="C35" s="255">
        <v>1846967.31</v>
      </c>
      <c r="D35" s="96">
        <f t="shared" si="1"/>
        <v>0.30090702346041054</v>
      </c>
    </row>
    <row r="36" spans="1:5" ht="14.25">
      <c r="A36" s="61" t="s">
        <v>244</v>
      </c>
      <c r="B36" s="540">
        <v>275371</v>
      </c>
      <c r="C36" s="540">
        <v>168007.81</v>
      </c>
      <c r="D36" s="99">
        <f t="shared" si="1"/>
        <v>0.6101143911305112</v>
      </c>
      <c r="E36" s="515"/>
    </row>
    <row r="37" spans="1:4" ht="15">
      <c r="A37" s="59" t="s">
        <v>245</v>
      </c>
      <c r="B37" s="244">
        <f>SUM(B38:B39)</f>
        <v>16820750</v>
      </c>
      <c r="C37" s="244">
        <f>SUM(C38:C39)</f>
        <v>14151170</v>
      </c>
      <c r="D37" s="146">
        <f t="shared" si="1"/>
        <v>0.8412924512878439</v>
      </c>
    </row>
    <row r="38" spans="1:4" ht="14.25">
      <c r="A38" s="62" t="s">
        <v>246</v>
      </c>
      <c r="B38" s="542">
        <v>15861413</v>
      </c>
      <c r="C38" s="542">
        <v>13431665</v>
      </c>
      <c r="D38" s="141">
        <f t="shared" si="1"/>
        <v>0.8468138998713418</v>
      </c>
    </row>
    <row r="39" spans="1:4" ht="14.25">
      <c r="A39" s="61" t="s">
        <v>247</v>
      </c>
      <c r="B39" s="540">
        <v>959337</v>
      </c>
      <c r="C39" s="540">
        <v>719505</v>
      </c>
      <c r="D39" s="140">
        <f t="shared" si="1"/>
        <v>0.750002345369771</v>
      </c>
    </row>
    <row r="40" spans="1:4" ht="15">
      <c r="A40" s="59" t="s">
        <v>248</v>
      </c>
      <c r="B40" s="244">
        <f>B41+B60+B63+B65+B71</f>
        <v>27333109.310000002</v>
      </c>
      <c r="C40" s="244">
        <f>C41+C60+C63+C65+C71</f>
        <v>18510178.86</v>
      </c>
      <c r="D40" s="146">
        <f t="shared" si="1"/>
        <v>0.677207215983581</v>
      </c>
    </row>
    <row r="41" spans="1:4" ht="14.25">
      <c r="A41" s="60" t="s">
        <v>249</v>
      </c>
      <c r="B41" s="245">
        <f>B42+B48+B52</f>
        <v>16161595</v>
      </c>
      <c r="C41" s="245">
        <f>C42+C48+C52</f>
        <v>10213515.549999999</v>
      </c>
      <c r="D41" s="141">
        <f t="shared" si="1"/>
        <v>0.6319621021316274</v>
      </c>
    </row>
    <row r="42" spans="1:4" ht="14.25">
      <c r="A42" s="60" t="s">
        <v>250</v>
      </c>
      <c r="B42" s="245">
        <f>SUM(B43:B44)+B47</f>
        <v>3429014</v>
      </c>
      <c r="C42" s="245">
        <f>SUM(C43:C44)</f>
        <v>1685774</v>
      </c>
      <c r="D42" s="141">
        <f t="shared" si="1"/>
        <v>0.49162062330454176</v>
      </c>
    </row>
    <row r="43" spans="1:6" ht="14.25">
      <c r="A43" s="60" t="s">
        <v>251</v>
      </c>
      <c r="B43" s="245">
        <v>2693235</v>
      </c>
      <c r="C43" s="245">
        <v>1528465</v>
      </c>
      <c r="D43" s="141">
        <f t="shared" si="1"/>
        <v>0.5675201012908269</v>
      </c>
      <c r="E43" s="513"/>
      <c r="F43" s="512"/>
    </row>
    <row r="44" spans="1:5" ht="14.25">
      <c r="A44" s="147" t="s">
        <v>371</v>
      </c>
      <c r="B44" s="245">
        <f>SUM(B45:B46)</f>
        <v>485779</v>
      </c>
      <c r="C44" s="245">
        <f>SUM(C45:C46)</f>
        <v>157309</v>
      </c>
      <c r="D44" s="141">
        <f t="shared" si="1"/>
        <v>0.3238283252260802</v>
      </c>
      <c r="E44" s="513"/>
    </row>
    <row r="45" spans="1:5" ht="14.25">
      <c r="A45" s="63" t="s">
        <v>372</v>
      </c>
      <c r="B45" s="245">
        <v>412916</v>
      </c>
      <c r="C45" s="245">
        <v>133712.65</v>
      </c>
      <c r="D45" s="141">
        <f t="shared" si="1"/>
        <v>0.3238253058733495</v>
      </c>
      <c r="E45" s="513"/>
    </row>
    <row r="46" spans="1:4" ht="14.25">
      <c r="A46" s="63" t="s">
        <v>373</v>
      </c>
      <c r="B46" s="245">
        <v>72863</v>
      </c>
      <c r="C46" s="245">
        <v>23596.35</v>
      </c>
      <c r="D46" s="141">
        <f t="shared" si="1"/>
        <v>0.3238454359551487</v>
      </c>
    </row>
    <row r="47" spans="1:4" ht="14.25">
      <c r="A47" s="147" t="s">
        <v>374</v>
      </c>
      <c r="B47" s="245">
        <v>250000</v>
      </c>
      <c r="C47" s="245">
        <v>0</v>
      </c>
      <c r="D47" s="141">
        <f t="shared" si="1"/>
        <v>0</v>
      </c>
    </row>
    <row r="48" spans="1:4" ht="14.25">
      <c r="A48" s="60" t="s">
        <v>375</v>
      </c>
      <c r="B48" s="245">
        <f>SUM(B49:B51)</f>
        <v>11310606</v>
      </c>
      <c r="C48" s="245">
        <f>SUM(C49:C51)</f>
        <v>7596158.79</v>
      </c>
      <c r="D48" s="141">
        <f t="shared" si="1"/>
        <v>0.6715960921987735</v>
      </c>
    </row>
    <row r="49" spans="1:4" ht="14.25">
      <c r="A49" s="63" t="s">
        <v>376</v>
      </c>
      <c r="B49" s="245">
        <v>11063525</v>
      </c>
      <c r="C49" s="245">
        <v>7379078.19</v>
      </c>
      <c r="D49" s="141">
        <f>SUM(C49/B49)</f>
        <v>0.6669735179339316</v>
      </c>
    </row>
    <row r="50" spans="1:4" ht="14.25">
      <c r="A50" s="63" t="s">
        <v>377</v>
      </c>
      <c r="B50" s="245">
        <v>191581</v>
      </c>
      <c r="C50" s="245">
        <v>191580.6</v>
      </c>
      <c r="D50" s="141">
        <f>SUM(C50/B50)</f>
        <v>0.9999979121102823</v>
      </c>
    </row>
    <row r="51" spans="1:6" ht="14.25">
      <c r="A51" s="165" t="s">
        <v>378</v>
      </c>
      <c r="B51" s="245">
        <v>55500</v>
      </c>
      <c r="C51" s="245">
        <v>25500</v>
      </c>
      <c r="D51" s="141">
        <f aca="true" t="shared" si="2" ref="D51:D60">SUM(C51/B51)</f>
        <v>0.4594594594594595</v>
      </c>
      <c r="F51" s="513"/>
    </row>
    <row r="52" spans="1:4" ht="14.25">
      <c r="A52" s="60" t="s">
        <v>252</v>
      </c>
      <c r="B52" s="245">
        <f>SUM(B53:B59)</f>
        <v>1421975</v>
      </c>
      <c r="C52" s="245">
        <f>SUM(C53:C59)</f>
        <v>931582.76</v>
      </c>
      <c r="D52" s="141">
        <f t="shared" si="2"/>
        <v>0.6551330086675223</v>
      </c>
    </row>
    <row r="53" spans="1:8" ht="14.25">
      <c r="A53" s="60" t="s">
        <v>253</v>
      </c>
      <c r="B53" s="245">
        <f>192979+341139+65282+18282+89764</f>
        <v>707446</v>
      </c>
      <c r="C53" s="245">
        <v>217343.58</v>
      </c>
      <c r="D53" s="141">
        <f t="shared" si="2"/>
        <v>0.30722285517198483</v>
      </c>
      <c r="H53" s="513"/>
    </row>
    <row r="54" spans="1:9" s="58" customFormat="1" ht="14.25">
      <c r="A54" s="60" t="s">
        <v>379</v>
      </c>
      <c r="B54" s="245">
        <v>1672</v>
      </c>
      <c r="C54" s="245">
        <v>1672</v>
      </c>
      <c r="D54" s="141">
        <f t="shared" si="2"/>
        <v>1</v>
      </c>
      <c r="E54" s="510"/>
      <c r="F54" s="510"/>
      <c r="G54" s="510"/>
      <c r="H54" s="513"/>
      <c r="I54" s="510"/>
    </row>
    <row r="55" spans="1:9" s="58" customFormat="1" ht="14.25">
      <c r="A55" s="163" t="s">
        <v>353</v>
      </c>
      <c r="B55" s="245">
        <v>8875</v>
      </c>
      <c r="C55" s="245">
        <v>8874.8</v>
      </c>
      <c r="D55" s="141">
        <f t="shared" si="2"/>
        <v>0.9999774647887323</v>
      </c>
      <c r="E55" s="510"/>
      <c r="F55" s="510"/>
      <c r="G55" s="510"/>
      <c r="H55" s="513"/>
      <c r="I55" s="510"/>
    </row>
    <row r="56" spans="1:9" s="58" customFormat="1" ht="14.25">
      <c r="A56" s="163" t="s">
        <v>359</v>
      </c>
      <c r="B56" s="245">
        <v>6861</v>
      </c>
      <c r="C56" s="245">
        <v>6858.21</v>
      </c>
      <c r="D56" s="141">
        <f t="shared" si="2"/>
        <v>0.9995933537385221</v>
      </c>
      <c r="E56" s="510"/>
      <c r="F56" s="510"/>
      <c r="G56" s="510"/>
      <c r="H56" s="513"/>
      <c r="I56" s="510"/>
    </row>
    <row r="57" spans="1:9" s="58" customFormat="1" ht="14.25">
      <c r="A57" s="163" t="s">
        <v>360</v>
      </c>
      <c r="B57" s="245">
        <v>10000</v>
      </c>
      <c r="C57" s="245">
        <v>10000</v>
      </c>
      <c r="D57" s="141">
        <f t="shared" si="2"/>
        <v>1</v>
      </c>
      <c r="E57" s="510"/>
      <c r="F57" s="510"/>
      <c r="G57" s="510"/>
      <c r="H57" s="513"/>
      <c r="I57" s="510"/>
    </row>
    <row r="58" spans="1:9" s="58" customFormat="1" ht="14.25">
      <c r="A58" s="163" t="s">
        <v>368</v>
      </c>
      <c r="B58" s="245">
        <v>666000</v>
      </c>
      <c r="C58" s="245">
        <v>666000</v>
      </c>
      <c r="D58" s="141">
        <f t="shared" si="2"/>
        <v>1</v>
      </c>
      <c r="E58" s="510"/>
      <c r="F58" s="510"/>
      <c r="G58" s="510"/>
      <c r="H58" s="510"/>
      <c r="I58" s="510"/>
    </row>
    <row r="59" spans="1:9" s="58" customFormat="1" ht="14.25">
      <c r="A59" s="163" t="s">
        <v>251</v>
      </c>
      <c r="B59" s="245">
        <v>21121</v>
      </c>
      <c r="C59" s="245">
        <f>11682.54+2437.65+6713.98</f>
        <v>20834.17</v>
      </c>
      <c r="D59" s="141">
        <f t="shared" si="2"/>
        <v>0.9864196770986221</v>
      </c>
      <c r="E59" s="510"/>
      <c r="F59" s="510"/>
      <c r="G59" s="510"/>
      <c r="H59" s="510"/>
      <c r="I59" s="510"/>
    </row>
    <row r="60" spans="1:9" s="58" customFormat="1" ht="14.25">
      <c r="A60" s="163" t="s">
        <v>623</v>
      </c>
      <c r="B60" s="245">
        <f>SUM(B62)</f>
        <v>9948196.31</v>
      </c>
      <c r="C60" s="245">
        <f>SUM(C62)</f>
        <v>7398345.31</v>
      </c>
      <c r="D60" s="164">
        <f t="shared" si="2"/>
        <v>0.743687104622486</v>
      </c>
      <c r="E60" s="510"/>
      <c r="F60" s="510"/>
      <c r="G60" s="510"/>
      <c r="H60" s="510"/>
      <c r="I60" s="510"/>
    </row>
    <row r="61" spans="1:9" s="58" customFormat="1" ht="14.25">
      <c r="A61" s="163" t="s">
        <v>624</v>
      </c>
      <c r="B61" s="245"/>
      <c r="C61" s="245"/>
      <c r="D61" s="164"/>
      <c r="E61" s="510"/>
      <c r="F61" s="510"/>
      <c r="G61" s="510"/>
      <c r="H61" s="510"/>
      <c r="I61" s="510"/>
    </row>
    <row r="62" spans="1:9" s="58" customFormat="1" ht="14.25">
      <c r="A62" s="163" t="s">
        <v>254</v>
      </c>
      <c r="B62" s="245">
        <v>9948196.31</v>
      </c>
      <c r="C62" s="245">
        <v>7398345.31</v>
      </c>
      <c r="D62" s="164">
        <f>SUM(C62/B62)</f>
        <v>0.743687104622486</v>
      </c>
      <c r="E62" s="510"/>
      <c r="F62" s="510"/>
      <c r="G62" s="510"/>
      <c r="H62" s="510"/>
      <c r="I62" s="510"/>
    </row>
    <row r="63" spans="1:9" s="58" customFormat="1" ht="14.25">
      <c r="A63" s="163" t="s">
        <v>391</v>
      </c>
      <c r="B63" s="245">
        <f>B64</f>
        <v>555000</v>
      </c>
      <c r="C63" s="245">
        <f>C64</f>
        <v>230000</v>
      </c>
      <c r="D63" s="164"/>
      <c r="E63" s="510"/>
      <c r="F63" s="510"/>
      <c r="G63" s="510"/>
      <c r="H63" s="510"/>
      <c r="I63" s="510"/>
    </row>
    <row r="64" spans="1:4" ht="14.25">
      <c r="A64" s="163" t="s">
        <v>255</v>
      </c>
      <c r="B64" s="245">
        <v>555000</v>
      </c>
      <c r="C64" s="245">
        <v>230000</v>
      </c>
      <c r="D64" s="164">
        <f>SUM(C64/B64)</f>
        <v>0.4144144144144144</v>
      </c>
    </row>
    <row r="65" spans="1:4" ht="14.25">
      <c r="A65" s="147" t="s">
        <v>352</v>
      </c>
      <c r="B65" s="245">
        <f>B67</f>
        <v>639087</v>
      </c>
      <c r="C65" s="245">
        <f>C67</f>
        <v>639087</v>
      </c>
      <c r="D65" s="141">
        <f>SUM(C65/B65)</f>
        <v>1</v>
      </c>
    </row>
    <row r="66" spans="1:4" ht="14.25">
      <c r="A66" s="147" t="s">
        <v>380</v>
      </c>
      <c r="B66" s="245"/>
      <c r="C66" s="245"/>
      <c r="D66" s="141"/>
    </row>
    <row r="67" spans="1:4" ht="14.25">
      <c r="A67" s="147" t="s">
        <v>381</v>
      </c>
      <c r="B67" s="245">
        <f>B68+B69</f>
        <v>639087</v>
      </c>
      <c r="C67" s="245">
        <f>C68+C69</f>
        <v>639087</v>
      </c>
      <c r="D67" s="141">
        <f>SUM(C67/B67)</f>
        <v>1</v>
      </c>
    </row>
    <row r="68" spans="1:4" ht="14.25">
      <c r="A68" s="63" t="s">
        <v>372</v>
      </c>
      <c r="B68" s="245">
        <v>603599</v>
      </c>
      <c r="C68" s="245">
        <v>603599.45</v>
      </c>
      <c r="D68" s="141">
        <f>SUM(C68/B68)</f>
        <v>1.000000745528074</v>
      </c>
    </row>
    <row r="69" spans="1:4" ht="14.25">
      <c r="A69" s="63" t="s">
        <v>382</v>
      </c>
      <c r="B69" s="245">
        <v>35488</v>
      </c>
      <c r="C69" s="245">
        <v>35487.55</v>
      </c>
      <c r="D69" s="141">
        <f>SUM(C69/B69)</f>
        <v>0.999987319657349</v>
      </c>
    </row>
    <row r="70" spans="1:4" ht="14.25">
      <c r="A70" s="147" t="s">
        <v>388</v>
      </c>
      <c r="B70" s="245"/>
      <c r="C70" s="245"/>
      <c r="D70" s="141"/>
    </row>
    <row r="71" spans="1:4" ht="14.25">
      <c r="A71" s="147" t="s">
        <v>389</v>
      </c>
      <c r="B71" s="245">
        <f>B72</f>
        <v>29231</v>
      </c>
      <c r="C71" s="245">
        <f>C72</f>
        <v>29231</v>
      </c>
      <c r="D71" s="141">
        <f>SUM(C71/B71)</f>
        <v>1</v>
      </c>
    </row>
    <row r="72" spans="1:4" ht="14.25">
      <c r="A72" s="1243" t="s">
        <v>251</v>
      </c>
      <c r="B72" s="1244">
        <v>29231</v>
      </c>
      <c r="C72" s="1244">
        <v>29231</v>
      </c>
      <c r="D72" s="1245">
        <f>SUM(C72/B72)</f>
        <v>1</v>
      </c>
    </row>
    <row r="73" spans="1:4" ht="15.75" thickBot="1">
      <c r="A73" s="64" t="s">
        <v>256</v>
      </c>
      <c r="B73" s="541">
        <v>944660</v>
      </c>
      <c r="C73" s="541">
        <v>1089858.05</v>
      </c>
      <c r="D73" s="98">
        <f>SUM(C73/B73)</f>
        <v>1.1537040310799653</v>
      </c>
    </row>
  </sheetData>
  <mergeCells count="3">
    <mergeCell ref="A1:D1"/>
    <mergeCell ref="A2:D2"/>
    <mergeCell ref="D4:D5"/>
  </mergeCells>
  <printOptions horizontalCentered="1"/>
  <pageMargins left="0.55" right="0.3937007874015748" top="0.5905511811023623" bottom="0.3937007874015748" header="0.5118110236220472" footer="0.5118110236220472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348"/>
  <sheetViews>
    <sheetView showGridLines="0" view="pageBreakPreview" zoomScale="75" zoomScaleNormal="80" zoomScaleSheetLayoutView="75" workbookViewId="0" topLeftCell="A1">
      <selection activeCell="A1" sqref="A1:K1"/>
    </sheetView>
  </sheetViews>
  <sheetFormatPr defaultColWidth="9.00390625" defaultRowHeight="12"/>
  <cols>
    <col min="1" max="1" width="8.125" style="83" customWidth="1"/>
    <col min="2" max="2" width="9.375" style="83" bestFit="1" customWidth="1"/>
    <col min="3" max="3" width="51.375" style="83" customWidth="1"/>
    <col min="4" max="4" width="16.75390625" style="268" customWidth="1"/>
    <col min="5" max="5" width="16.75390625" style="135" customWidth="1"/>
    <col min="6" max="8" width="16.75390625" style="268" customWidth="1"/>
    <col min="9" max="9" width="14.875" style="268" customWidth="1"/>
    <col min="10" max="11" width="16.75390625" style="268" customWidth="1"/>
    <col min="12" max="12" width="11.875" style="135" customWidth="1"/>
    <col min="13" max="13" width="14.125" style="135" customWidth="1"/>
    <col min="14" max="14" width="11.375" style="83" customWidth="1"/>
    <col min="15" max="15" width="13.00390625" style="83" customWidth="1"/>
    <col min="16" max="16" width="11.25390625" style="83" customWidth="1"/>
    <col min="17" max="16384" width="9.125" style="83" customWidth="1"/>
  </cols>
  <sheetData>
    <row r="1" spans="1:12" ht="15.75">
      <c r="A1" s="1346" t="s">
        <v>629</v>
      </c>
      <c r="B1" s="1346"/>
      <c r="C1" s="1346"/>
      <c r="D1" s="1346"/>
      <c r="E1" s="1346"/>
      <c r="F1" s="1346"/>
      <c r="G1" s="1346"/>
      <c r="H1" s="1346"/>
      <c r="I1" s="1346"/>
      <c r="J1" s="1346"/>
      <c r="K1" s="1346"/>
      <c r="L1" s="248"/>
    </row>
    <row r="2" spans="1:12" ht="14.25">
      <c r="A2" s="1402" t="s">
        <v>404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249"/>
    </row>
    <row r="3" spans="1:13" s="65" customFormat="1" ht="33" customHeight="1" thickBot="1">
      <c r="A3" s="83"/>
      <c r="B3" s="83"/>
      <c r="C3" s="83"/>
      <c r="D3" s="268"/>
      <c r="E3" s="135"/>
      <c r="F3" s="268"/>
      <c r="G3" s="268"/>
      <c r="H3" s="268"/>
      <c r="I3" s="268"/>
      <c r="J3" s="268"/>
      <c r="K3" s="492"/>
      <c r="L3" s="492" t="s">
        <v>57</v>
      </c>
      <c r="M3" s="137"/>
    </row>
    <row r="4" spans="2:12" ht="12" customHeight="1">
      <c r="B4" s="1382" t="s">
        <v>58</v>
      </c>
      <c r="C4" s="1388" t="s">
        <v>86</v>
      </c>
      <c r="D4" s="1391" t="s">
        <v>60</v>
      </c>
      <c r="E4" s="1391" t="s">
        <v>341</v>
      </c>
      <c r="F4" s="1403" t="s">
        <v>61</v>
      </c>
      <c r="G4" s="1404"/>
      <c r="H4" s="1404"/>
      <c r="I4" s="1404"/>
      <c r="J4" s="1404"/>
      <c r="K4" s="1404"/>
      <c r="L4" s="1407" t="s">
        <v>626</v>
      </c>
    </row>
    <row r="5" spans="2:12" ht="12">
      <c r="B5" s="1383"/>
      <c r="C5" s="1389"/>
      <c r="D5" s="1392"/>
      <c r="E5" s="1392"/>
      <c r="F5" s="1401" t="s">
        <v>257</v>
      </c>
      <c r="G5" s="1405" t="s">
        <v>258</v>
      </c>
      <c r="H5" s="1405"/>
      <c r="I5" s="1405"/>
      <c r="J5" s="1405"/>
      <c r="K5" s="1339" t="s">
        <v>259</v>
      </c>
      <c r="L5" s="1408"/>
    </row>
    <row r="6" spans="2:12" ht="36">
      <c r="B6" s="1384"/>
      <c r="C6" s="1390"/>
      <c r="D6" s="1393"/>
      <c r="E6" s="1393"/>
      <c r="F6" s="1393"/>
      <c r="G6" s="102" t="s">
        <v>260</v>
      </c>
      <c r="H6" s="102" t="s">
        <v>261</v>
      </c>
      <c r="I6" s="102" t="s">
        <v>262</v>
      </c>
      <c r="J6" s="102" t="s">
        <v>263</v>
      </c>
      <c r="K6" s="1379"/>
      <c r="L6" s="1409"/>
    </row>
    <row r="7" spans="1:12" ht="12.75" thickBot="1">
      <c r="A7" s="65"/>
      <c r="B7" s="66">
        <v>1</v>
      </c>
      <c r="C7" s="67">
        <v>2</v>
      </c>
      <c r="D7" s="136">
        <v>3</v>
      </c>
      <c r="E7" s="136">
        <v>4</v>
      </c>
      <c r="F7" s="136">
        <v>5</v>
      </c>
      <c r="G7" s="136">
        <v>6</v>
      </c>
      <c r="H7" s="136">
        <v>7</v>
      </c>
      <c r="I7" s="136">
        <v>8</v>
      </c>
      <c r="J7" s="136">
        <v>9</v>
      </c>
      <c r="K7" s="136">
        <v>10</v>
      </c>
      <c r="L7" s="1300" t="s">
        <v>627</v>
      </c>
    </row>
    <row r="8" spans="2:12" ht="12">
      <c r="B8" s="69"/>
      <c r="C8" s="70"/>
      <c r="D8" s="103"/>
      <c r="E8" s="103"/>
      <c r="F8" s="103"/>
      <c r="G8" s="103"/>
      <c r="H8" s="103"/>
      <c r="I8" s="103"/>
      <c r="J8" s="103"/>
      <c r="K8" s="103"/>
      <c r="L8" s="1296"/>
    </row>
    <row r="9" spans="2:12" ht="12">
      <c r="B9" s="209" t="s">
        <v>264</v>
      </c>
      <c r="C9" s="88" t="s">
        <v>265</v>
      </c>
      <c r="D9" s="112">
        <f aca="true" t="shared" si="0" ref="D9:K9">D71+D225</f>
        <v>66703.31</v>
      </c>
      <c r="E9" s="112">
        <f t="shared" si="0"/>
        <v>56839.02</v>
      </c>
      <c r="F9" s="112">
        <f t="shared" si="0"/>
        <v>56839.02</v>
      </c>
      <c r="G9" s="112">
        <f t="shared" si="0"/>
        <v>0</v>
      </c>
      <c r="H9" s="112">
        <f t="shared" si="0"/>
        <v>0</v>
      </c>
      <c r="I9" s="112">
        <f t="shared" si="0"/>
        <v>0</v>
      </c>
      <c r="J9" s="112">
        <f t="shared" si="0"/>
        <v>0</v>
      </c>
      <c r="K9" s="112">
        <f t="shared" si="0"/>
        <v>0</v>
      </c>
      <c r="L9" s="931">
        <f>SUM(E9/D9)</f>
        <v>0.8521169339272668</v>
      </c>
    </row>
    <row r="10" spans="2:12" ht="12">
      <c r="B10" s="150"/>
      <c r="C10" s="86"/>
      <c r="D10" s="151"/>
      <c r="E10" s="151"/>
      <c r="F10" s="151"/>
      <c r="G10" s="151"/>
      <c r="H10" s="151"/>
      <c r="I10" s="151"/>
      <c r="J10" s="151"/>
      <c r="K10" s="151"/>
      <c r="L10" s="871"/>
    </row>
    <row r="11" spans="2:12" ht="12">
      <c r="B11" s="150" t="s">
        <v>266</v>
      </c>
      <c r="C11" s="86" t="s">
        <v>267</v>
      </c>
      <c r="D11" s="105"/>
      <c r="E11" s="105"/>
      <c r="F11" s="105"/>
      <c r="G11" s="105"/>
      <c r="H11" s="105"/>
      <c r="I11" s="105"/>
      <c r="J11" s="105"/>
      <c r="K11" s="105"/>
      <c r="L11" s="871"/>
    </row>
    <row r="12" spans="2:12" ht="12">
      <c r="B12" s="209"/>
      <c r="C12" s="88" t="s">
        <v>268</v>
      </c>
      <c r="D12" s="112">
        <f>SUM(D78)</f>
        <v>631807</v>
      </c>
      <c r="E12" s="112">
        <f>SUM(E78)</f>
        <v>81855.49</v>
      </c>
      <c r="F12" s="112">
        <f aca="true" t="shared" si="1" ref="F12:K12">SUM(F78)</f>
        <v>15809.570000000009</v>
      </c>
      <c r="G12" s="112">
        <f t="shared" si="1"/>
        <v>0</v>
      </c>
      <c r="H12" s="112">
        <f t="shared" si="1"/>
        <v>0</v>
      </c>
      <c r="I12" s="112">
        <f t="shared" si="1"/>
        <v>0</v>
      </c>
      <c r="J12" s="112">
        <f t="shared" si="1"/>
        <v>0</v>
      </c>
      <c r="K12" s="112">
        <f t="shared" si="1"/>
        <v>66045.92</v>
      </c>
      <c r="L12" s="931">
        <f>SUM(E12/D12)</f>
        <v>0.12955774469102116</v>
      </c>
    </row>
    <row r="13" spans="1:13" s="219" customFormat="1" ht="12">
      <c r="A13" s="83"/>
      <c r="B13" s="84"/>
      <c r="C13" s="86"/>
      <c r="D13" s="105"/>
      <c r="E13" s="105"/>
      <c r="F13" s="105"/>
      <c r="G13" s="105"/>
      <c r="H13" s="105"/>
      <c r="I13" s="105"/>
      <c r="J13" s="105"/>
      <c r="K13" s="105"/>
      <c r="L13" s="871"/>
      <c r="M13" s="218"/>
    </row>
    <row r="14" spans="2:13" s="219" customFormat="1" ht="12">
      <c r="B14" s="250">
        <v>600</v>
      </c>
      <c r="C14" s="251" t="s">
        <v>65</v>
      </c>
      <c r="D14" s="112">
        <f aca="true" t="shared" si="2" ref="D14:K14">D83+D271+D291</f>
        <v>9336383</v>
      </c>
      <c r="E14" s="112">
        <f t="shared" si="2"/>
        <v>5047524.38</v>
      </c>
      <c r="F14" s="112">
        <f t="shared" si="2"/>
        <v>4926744.38</v>
      </c>
      <c r="G14" s="112">
        <f t="shared" si="2"/>
        <v>0</v>
      </c>
      <c r="H14" s="112">
        <f t="shared" si="2"/>
        <v>0</v>
      </c>
      <c r="I14" s="112">
        <f t="shared" si="2"/>
        <v>0</v>
      </c>
      <c r="J14" s="112">
        <f t="shared" si="2"/>
        <v>0</v>
      </c>
      <c r="K14" s="112">
        <f t="shared" si="2"/>
        <v>120780</v>
      </c>
      <c r="L14" s="931">
        <f>SUM(E14/D14)</f>
        <v>0.5406295328715628</v>
      </c>
      <c r="M14" s="220"/>
    </row>
    <row r="15" spans="2:13" s="219" customFormat="1" ht="12">
      <c r="B15" s="252"/>
      <c r="C15" s="253"/>
      <c r="D15" s="105"/>
      <c r="E15" s="105"/>
      <c r="F15" s="105"/>
      <c r="G15" s="105"/>
      <c r="H15" s="105"/>
      <c r="I15" s="105"/>
      <c r="J15" s="105"/>
      <c r="K15" s="105"/>
      <c r="L15" s="871"/>
      <c r="M15" s="220"/>
    </row>
    <row r="16" spans="2:13" s="219" customFormat="1" ht="12">
      <c r="B16" s="250">
        <v>630</v>
      </c>
      <c r="C16" s="251" t="s">
        <v>269</v>
      </c>
      <c r="D16" s="112">
        <f>SUM(D88)</f>
        <v>92216</v>
      </c>
      <c r="E16" s="112">
        <f>E88</f>
        <v>13200.3</v>
      </c>
      <c r="F16" s="112">
        <f aca="true" t="shared" si="3" ref="F16:K16">SUM(F88)</f>
        <v>13200.3</v>
      </c>
      <c r="G16" s="112">
        <f t="shared" si="3"/>
        <v>10000</v>
      </c>
      <c r="H16" s="112">
        <f t="shared" si="3"/>
        <v>0</v>
      </c>
      <c r="I16" s="112">
        <f t="shared" si="3"/>
        <v>0</v>
      </c>
      <c r="J16" s="112">
        <f t="shared" si="3"/>
        <v>0</v>
      </c>
      <c r="K16" s="112">
        <f t="shared" si="3"/>
        <v>0</v>
      </c>
      <c r="L16" s="931">
        <f>SUM(E16/D16)</f>
        <v>0.14314544113819727</v>
      </c>
      <c r="M16" s="220"/>
    </row>
    <row r="17" spans="2:13" s="219" customFormat="1" ht="12">
      <c r="B17" s="252"/>
      <c r="C17" s="253"/>
      <c r="D17" s="105"/>
      <c r="E17" s="105"/>
      <c r="F17" s="105"/>
      <c r="G17" s="105"/>
      <c r="H17" s="105"/>
      <c r="I17" s="105"/>
      <c r="J17" s="105"/>
      <c r="K17" s="105"/>
      <c r="L17" s="871"/>
      <c r="M17" s="220"/>
    </row>
    <row r="18" spans="2:13" s="219" customFormat="1" ht="12">
      <c r="B18" s="250">
        <v>700</v>
      </c>
      <c r="C18" s="251" t="s">
        <v>66</v>
      </c>
      <c r="D18" s="112">
        <f>SUM(D92)</f>
        <v>13471700</v>
      </c>
      <c r="E18" s="112">
        <f>SUM(E92)</f>
        <v>8885394.32</v>
      </c>
      <c r="F18" s="112">
        <f aca="true" t="shared" si="4" ref="F18:K18">SUM(F92)</f>
        <v>2376043.99</v>
      </c>
      <c r="G18" s="112">
        <f t="shared" si="4"/>
        <v>2252000</v>
      </c>
      <c r="H18" s="112">
        <f t="shared" si="4"/>
        <v>26300</v>
      </c>
      <c r="I18" s="112">
        <f t="shared" si="4"/>
        <v>0</v>
      </c>
      <c r="J18" s="112">
        <f t="shared" si="4"/>
        <v>0</v>
      </c>
      <c r="K18" s="112">
        <f t="shared" si="4"/>
        <v>6509350.33</v>
      </c>
      <c r="L18" s="931">
        <f>SUM(E18/D18)</f>
        <v>0.6595599902016821</v>
      </c>
      <c r="M18" s="220"/>
    </row>
    <row r="19" spans="2:13" s="219" customFormat="1" ht="12">
      <c r="B19" s="252"/>
      <c r="C19" s="253"/>
      <c r="D19" s="105"/>
      <c r="E19" s="105"/>
      <c r="F19" s="105"/>
      <c r="G19" s="105"/>
      <c r="H19" s="105"/>
      <c r="I19" s="105"/>
      <c r="J19" s="105"/>
      <c r="K19" s="105"/>
      <c r="L19" s="871"/>
      <c r="M19" s="220"/>
    </row>
    <row r="20" spans="2:13" s="219" customFormat="1" ht="12">
      <c r="B20" s="250">
        <v>710</v>
      </c>
      <c r="C20" s="251" t="s">
        <v>270</v>
      </c>
      <c r="D20" s="112">
        <f>SUM(D98)</f>
        <v>4930668</v>
      </c>
      <c r="E20" s="112">
        <f>SUM(E98)</f>
        <v>3471312.5500000003</v>
      </c>
      <c r="F20" s="112">
        <f aca="true" t="shared" si="5" ref="F20:K20">SUM(F98)</f>
        <v>750842.5500000002</v>
      </c>
      <c r="G20" s="112">
        <f t="shared" si="5"/>
        <v>0</v>
      </c>
      <c r="H20" s="112">
        <f t="shared" si="5"/>
        <v>300</v>
      </c>
      <c r="I20" s="112">
        <f t="shared" si="5"/>
        <v>0</v>
      </c>
      <c r="J20" s="112">
        <f t="shared" si="5"/>
        <v>0</v>
      </c>
      <c r="K20" s="112">
        <f t="shared" si="5"/>
        <v>2720470</v>
      </c>
      <c r="L20" s="931">
        <f>SUM(E20/D20)</f>
        <v>0.7040247994795026</v>
      </c>
      <c r="M20" s="220"/>
    </row>
    <row r="21" spans="2:13" s="219" customFormat="1" ht="12">
      <c r="B21" s="252"/>
      <c r="C21" s="253"/>
      <c r="D21" s="105"/>
      <c r="E21" s="105"/>
      <c r="F21" s="105"/>
      <c r="G21" s="105"/>
      <c r="H21" s="105"/>
      <c r="I21" s="105"/>
      <c r="J21" s="105"/>
      <c r="K21" s="105"/>
      <c r="L21" s="871"/>
      <c r="M21" s="220"/>
    </row>
    <row r="22" spans="2:13" s="219" customFormat="1" ht="12">
      <c r="B22" s="250">
        <v>750</v>
      </c>
      <c r="C22" s="251" t="s">
        <v>67</v>
      </c>
      <c r="D22" s="112">
        <f aca="true" t="shared" si="6" ref="D22:K22">D105+D229</f>
        <v>12210494</v>
      </c>
      <c r="E22" s="112">
        <f t="shared" si="6"/>
        <v>8065221.53</v>
      </c>
      <c r="F22" s="112">
        <f t="shared" si="6"/>
        <v>8028159.62</v>
      </c>
      <c r="G22" s="112">
        <f t="shared" si="6"/>
        <v>0</v>
      </c>
      <c r="H22" s="112">
        <f t="shared" si="6"/>
        <v>5971527.409999999</v>
      </c>
      <c r="I22" s="112">
        <f t="shared" si="6"/>
        <v>0</v>
      </c>
      <c r="J22" s="112">
        <f t="shared" si="6"/>
        <v>0</v>
      </c>
      <c r="K22" s="112">
        <f t="shared" si="6"/>
        <v>37061.91</v>
      </c>
      <c r="L22" s="931">
        <f>SUM(E22/D22)</f>
        <v>0.6605155802869237</v>
      </c>
      <c r="M22" s="220"/>
    </row>
    <row r="23" spans="2:13" s="219" customFormat="1" ht="12">
      <c r="B23" s="252"/>
      <c r="C23" s="253"/>
      <c r="D23" s="105"/>
      <c r="E23" s="105"/>
      <c r="F23" s="105"/>
      <c r="G23" s="105"/>
      <c r="H23" s="105"/>
      <c r="I23" s="105"/>
      <c r="J23" s="105"/>
      <c r="K23" s="105"/>
      <c r="L23" s="871"/>
      <c r="M23" s="220"/>
    </row>
    <row r="24" spans="2:13" s="219" customFormat="1" ht="12">
      <c r="B24" s="252">
        <v>751</v>
      </c>
      <c r="C24" s="253" t="s">
        <v>271</v>
      </c>
      <c r="D24" s="105"/>
      <c r="E24" s="105"/>
      <c r="F24" s="105"/>
      <c r="G24" s="105"/>
      <c r="H24" s="105"/>
      <c r="I24" s="105"/>
      <c r="J24" s="105"/>
      <c r="K24" s="105"/>
      <c r="L24" s="871"/>
      <c r="M24" s="220"/>
    </row>
    <row r="25" spans="2:13" s="219" customFormat="1" ht="12">
      <c r="B25" s="252"/>
      <c r="C25" s="253" t="s">
        <v>272</v>
      </c>
      <c r="D25" s="105"/>
      <c r="E25" s="105"/>
      <c r="F25" s="105"/>
      <c r="G25" s="105"/>
      <c r="H25" s="105"/>
      <c r="I25" s="105"/>
      <c r="J25" s="105"/>
      <c r="K25" s="105"/>
      <c r="L25" s="871"/>
      <c r="M25" s="220"/>
    </row>
    <row r="26" spans="2:13" s="219" customFormat="1" ht="12">
      <c r="B26" s="250"/>
      <c r="C26" s="251" t="s">
        <v>273</v>
      </c>
      <c r="D26" s="112">
        <f>SUM(D235)</f>
        <v>6000</v>
      </c>
      <c r="E26" s="112">
        <f aca="true" t="shared" si="7" ref="E26:K26">SUM(E235)</f>
        <v>3177.11</v>
      </c>
      <c r="F26" s="112">
        <f t="shared" si="7"/>
        <v>3177.11</v>
      </c>
      <c r="G26" s="112">
        <f t="shared" si="7"/>
        <v>0</v>
      </c>
      <c r="H26" s="112">
        <f t="shared" si="7"/>
        <v>3177.11</v>
      </c>
      <c r="I26" s="112">
        <f t="shared" si="7"/>
        <v>0</v>
      </c>
      <c r="J26" s="112">
        <f t="shared" si="7"/>
        <v>0</v>
      </c>
      <c r="K26" s="112">
        <f t="shared" si="7"/>
        <v>0</v>
      </c>
      <c r="L26" s="931">
        <f>SUM(E26/D26)</f>
        <v>0.5295183333333333</v>
      </c>
      <c r="M26" s="220"/>
    </row>
    <row r="27" spans="2:13" s="219" customFormat="1" ht="12">
      <c r="B27" s="252"/>
      <c r="C27" s="253"/>
      <c r="D27" s="105"/>
      <c r="E27" s="105"/>
      <c r="F27" s="105"/>
      <c r="G27" s="105"/>
      <c r="H27" s="105"/>
      <c r="I27" s="105"/>
      <c r="J27" s="105"/>
      <c r="K27" s="105"/>
      <c r="L27" s="871"/>
      <c r="M27" s="220"/>
    </row>
    <row r="28" spans="2:13" s="219" customFormat="1" ht="12">
      <c r="B28" s="252">
        <v>754</v>
      </c>
      <c r="C28" s="253" t="s">
        <v>111</v>
      </c>
      <c r="D28" s="105"/>
      <c r="E28" s="105"/>
      <c r="F28" s="105"/>
      <c r="G28" s="105"/>
      <c r="H28" s="105"/>
      <c r="I28" s="105"/>
      <c r="J28" s="105"/>
      <c r="K28" s="105"/>
      <c r="L28" s="871"/>
      <c r="M28" s="220"/>
    </row>
    <row r="29" spans="2:13" s="219" customFormat="1" ht="12">
      <c r="B29" s="250"/>
      <c r="C29" s="251" t="s">
        <v>112</v>
      </c>
      <c r="D29" s="112">
        <f>SUM(D113)</f>
        <v>3096466</v>
      </c>
      <c r="E29" s="112">
        <f aca="true" t="shared" si="8" ref="E29:K29">SUM(E113)</f>
        <v>936319.66</v>
      </c>
      <c r="F29" s="112">
        <f t="shared" si="8"/>
        <v>844275.38</v>
      </c>
      <c r="G29" s="112">
        <f t="shared" si="8"/>
        <v>0</v>
      </c>
      <c r="H29" s="112">
        <f t="shared" si="8"/>
        <v>550471.91</v>
      </c>
      <c r="I29" s="112">
        <f t="shared" si="8"/>
        <v>0</v>
      </c>
      <c r="J29" s="112">
        <f t="shared" si="8"/>
        <v>0</v>
      </c>
      <c r="K29" s="112">
        <f t="shared" si="8"/>
        <v>92044.28</v>
      </c>
      <c r="L29" s="931">
        <f>SUM(E29/D29)</f>
        <v>0.3023833169813588</v>
      </c>
      <c r="M29" s="220"/>
    </row>
    <row r="30" spans="2:13" s="219" customFormat="1" ht="3.75" customHeight="1">
      <c r="B30" s="252"/>
      <c r="C30" s="253"/>
      <c r="D30" s="105"/>
      <c r="E30" s="105"/>
      <c r="F30" s="105"/>
      <c r="G30" s="105"/>
      <c r="H30" s="105"/>
      <c r="I30" s="105"/>
      <c r="J30" s="105"/>
      <c r="K30" s="105"/>
      <c r="L30" s="871"/>
      <c r="M30" s="220"/>
    </row>
    <row r="31" spans="2:13" s="219" customFormat="1" ht="12">
      <c r="B31" s="252">
        <v>756</v>
      </c>
      <c r="C31" s="253" t="s">
        <v>274</v>
      </c>
      <c r="D31" s="105"/>
      <c r="E31" s="105"/>
      <c r="F31" s="105"/>
      <c r="G31" s="105"/>
      <c r="H31" s="105"/>
      <c r="I31" s="105"/>
      <c r="J31" s="105"/>
      <c r="K31" s="105"/>
      <c r="L31" s="871"/>
      <c r="M31" s="220"/>
    </row>
    <row r="32" spans="2:13" s="219" customFormat="1" ht="12">
      <c r="B32" s="252"/>
      <c r="C32" s="253" t="s">
        <v>275</v>
      </c>
      <c r="D32" s="105"/>
      <c r="E32" s="105"/>
      <c r="F32" s="105"/>
      <c r="G32" s="105"/>
      <c r="H32" s="105"/>
      <c r="I32" s="105"/>
      <c r="J32" s="105"/>
      <c r="K32" s="105"/>
      <c r="L32" s="871"/>
      <c r="M32" s="220"/>
    </row>
    <row r="33" spans="2:13" s="219" customFormat="1" ht="12">
      <c r="B33" s="252"/>
      <c r="C33" s="253" t="s">
        <v>119</v>
      </c>
      <c r="D33" s="105"/>
      <c r="E33" s="105"/>
      <c r="F33" s="105"/>
      <c r="G33" s="105"/>
      <c r="H33" s="105"/>
      <c r="I33" s="105"/>
      <c r="J33" s="105"/>
      <c r="K33" s="105"/>
      <c r="L33" s="871"/>
      <c r="M33" s="220"/>
    </row>
    <row r="34" spans="2:13" s="219" customFormat="1" ht="12">
      <c r="B34" s="250"/>
      <c r="C34" s="251" t="s">
        <v>74</v>
      </c>
      <c r="D34" s="112">
        <f>SUM(D124)</f>
        <v>180000</v>
      </c>
      <c r="E34" s="112">
        <f aca="true" t="shared" si="9" ref="E34:K34">SUM(E124)</f>
        <v>92722.92</v>
      </c>
      <c r="F34" s="112">
        <f t="shared" si="9"/>
        <v>92722.92</v>
      </c>
      <c r="G34" s="112">
        <f t="shared" si="9"/>
        <v>0</v>
      </c>
      <c r="H34" s="112">
        <f t="shared" si="9"/>
        <v>19577.28</v>
      </c>
      <c r="I34" s="112">
        <f t="shared" si="9"/>
        <v>0</v>
      </c>
      <c r="J34" s="112">
        <f t="shared" si="9"/>
        <v>0</v>
      </c>
      <c r="K34" s="112">
        <f t="shared" si="9"/>
        <v>0</v>
      </c>
      <c r="L34" s="931">
        <f>SUM(E34/D34)</f>
        <v>0.5151273333333333</v>
      </c>
      <c r="M34" s="220"/>
    </row>
    <row r="35" spans="1:13" s="65" customFormat="1" ht="12">
      <c r="A35" s="219"/>
      <c r="B35" s="252"/>
      <c r="C35" s="253"/>
      <c r="D35" s="105"/>
      <c r="E35" s="105"/>
      <c r="F35" s="105"/>
      <c r="G35" s="105"/>
      <c r="H35" s="105"/>
      <c r="I35" s="105"/>
      <c r="J35" s="105"/>
      <c r="K35" s="105"/>
      <c r="L35" s="871"/>
      <c r="M35" s="137"/>
    </row>
    <row r="36" spans="2:12" ht="12">
      <c r="B36" s="152">
        <v>757</v>
      </c>
      <c r="C36" s="88" t="s">
        <v>276</v>
      </c>
      <c r="D36" s="112">
        <f>SUM(D129)</f>
        <v>925244</v>
      </c>
      <c r="E36" s="112">
        <f aca="true" t="shared" si="10" ref="E36:K36">SUM(E129)</f>
        <v>134412.44</v>
      </c>
      <c r="F36" s="112">
        <f t="shared" si="10"/>
        <v>134412.44</v>
      </c>
      <c r="G36" s="112">
        <f t="shared" si="10"/>
        <v>0</v>
      </c>
      <c r="H36" s="112">
        <f t="shared" si="10"/>
        <v>0</v>
      </c>
      <c r="I36" s="112">
        <f t="shared" si="10"/>
        <v>134412.44</v>
      </c>
      <c r="J36" s="112">
        <f t="shared" si="10"/>
        <v>0</v>
      </c>
      <c r="K36" s="112">
        <f t="shared" si="10"/>
        <v>0</v>
      </c>
      <c r="L36" s="931">
        <f>SUM(E36/D36)</f>
        <v>0.14527242543588503</v>
      </c>
    </row>
    <row r="37" spans="2:12" ht="12">
      <c r="B37" s="84"/>
      <c r="C37" s="86"/>
      <c r="D37" s="105"/>
      <c r="E37" s="105"/>
      <c r="F37" s="105"/>
      <c r="G37" s="105"/>
      <c r="H37" s="105"/>
      <c r="I37" s="105"/>
      <c r="J37" s="105"/>
      <c r="K37" s="105"/>
      <c r="L37" s="871"/>
    </row>
    <row r="38" spans="2:12" ht="12.75" thickBot="1">
      <c r="B38" s="89">
        <v>758</v>
      </c>
      <c r="C38" s="90" t="s">
        <v>75</v>
      </c>
      <c r="D38" s="113">
        <f>(D134)</f>
        <v>762078</v>
      </c>
      <c r="E38" s="113">
        <f aca="true" t="shared" si="11" ref="E38:K38">(E134)</f>
        <v>26325</v>
      </c>
      <c r="F38" s="113">
        <f t="shared" si="11"/>
        <v>26325</v>
      </c>
      <c r="G38" s="113">
        <f t="shared" si="11"/>
        <v>0</v>
      </c>
      <c r="H38" s="113">
        <f t="shared" si="11"/>
        <v>0</v>
      </c>
      <c r="I38" s="113">
        <f t="shared" si="11"/>
        <v>0</v>
      </c>
      <c r="J38" s="113">
        <f t="shared" si="11"/>
        <v>0</v>
      </c>
      <c r="K38" s="113">
        <f t="shared" si="11"/>
        <v>0</v>
      </c>
      <c r="L38" s="1297">
        <f>SUM(E38/D38)</f>
        <v>0.034543708124365226</v>
      </c>
    </row>
    <row r="39" spans="1:12" ht="12">
      <c r="A39" s="65"/>
      <c r="B39" s="71">
        <v>1</v>
      </c>
      <c r="C39" s="72">
        <v>2</v>
      </c>
      <c r="D39" s="73">
        <v>3</v>
      </c>
      <c r="E39" s="73">
        <v>4</v>
      </c>
      <c r="F39" s="73">
        <v>5</v>
      </c>
      <c r="G39" s="73">
        <v>6</v>
      </c>
      <c r="H39" s="73">
        <v>7</v>
      </c>
      <c r="I39" s="73">
        <v>8</v>
      </c>
      <c r="J39" s="73">
        <v>9</v>
      </c>
      <c r="K39" s="73">
        <v>10</v>
      </c>
      <c r="L39" s="1302">
        <v>11</v>
      </c>
    </row>
    <row r="40" spans="2:12" ht="12">
      <c r="B40" s="84"/>
      <c r="C40" s="86"/>
      <c r="D40" s="105"/>
      <c r="E40" s="105"/>
      <c r="F40" s="105"/>
      <c r="G40" s="105"/>
      <c r="H40" s="105"/>
      <c r="I40" s="105"/>
      <c r="J40" s="105"/>
      <c r="K40" s="105"/>
      <c r="L40" s="974"/>
    </row>
    <row r="41" spans="2:12" ht="12">
      <c r="B41" s="152">
        <v>801</v>
      </c>
      <c r="C41" s="88" t="s">
        <v>76</v>
      </c>
      <c r="D41" s="112">
        <f>SUM(D139)</f>
        <v>35671191</v>
      </c>
      <c r="E41" s="112">
        <f aca="true" t="shared" si="12" ref="E41:K41">SUM(E139)</f>
        <v>27965492.610000003</v>
      </c>
      <c r="F41" s="112">
        <f t="shared" si="12"/>
        <v>27202862.66</v>
      </c>
      <c r="G41" s="112">
        <f t="shared" si="12"/>
        <v>26735279.57</v>
      </c>
      <c r="H41" s="112">
        <f t="shared" si="12"/>
        <v>42176.34</v>
      </c>
      <c r="I41" s="112">
        <f t="shared" si="12"/>
        <v>0</v>
      </c>
      <c r="J41" s="112">
        <f t="shared" si="12"/>
        <v>0</v>
      </c>
      <c r="K41" s="112">
        <f t="shared" si="12"/>
        <v>762629.9500000001</v>
      </c>
      <c r="L41" s="931">
        <f>SUM(E41/D41)</f>
        <v>0.7839797838541472</v>
      </c>
    </row>
    <row r="42" spans="2:12" ht="12">
      <c r="B42" s="84"/>
      <c r="C42" s="86"/>
      <c r="D42" s="105"/>
      <c r="E42" s="105"/>
      <c r="F42" s="105"/>
      <c r="G42" s="105"/>
      <c r="H42" s="105"/>
      <c r="I42" s="105"/>
      <c r="J42" s="105"/>
      <c r="K42" s="105"/>
      <c r="L42" s="871"/>
    </row>
    <row r="43" spans="2:12" ht="12">
      <c r="B43" s="152">
        <v>851</v>
      </c>
      <c r="C43" s="88" t="s">
        <v>77</v>
      </c>
      <c r="D43" s="112">
        <f aca="true" t="shared" si="13" ref="D43:K43">SUM(D152+D240)</f>
        <v>819945</v>
      </c>
      <c r="E43" s="112">
        <f t="shared" si="13"/>
        <v>454977.95</v>
      </c>
      <c r="F43" s="112">
        <f t="shared" si="13"/>
        <v>454977.95</v>
      </c>
      <c r="G43" s="112">
        <f t="shared" si="13"/>
        <v>83600</v>
      </c>
      <c r="H43" s="112">
        <f t="shared" si="13"/>
        <v>211350.83</v>
      </c>
      <c r="I43" s="112">
        <f t="shared" si="13"/>
        <v>0</v>
      </c>
      <c r="J43" s="112">
        <f t="shared" si="13"/>
        <v>0</v>
      </c>
      <c r="K43" s="112">
        <f t="shared" si="13"/>
        <v>0</v>
      </c>
      <c r="L43" s="931">
        <f>SUM(E43/D43)</f>
        <v>0.55488837665941</v>
      </c>
    </row>
    <row r="44" spans="2:12" ht="12">
      <c r="B44" s="84"/>
      <c r="C44" s="86"/>
      <c r="D44" s="105"/>
      <c r="E44" s="105"/>
      <c r="F44" s="105"/>
      <c r="G44" s="105"/>
      <c r="H44" s="105"/>
      <c r="I44" s="105"/>
      <c r="J44" s="105"/>
      <c r="K44" s="105"/>
      <c r="L44" s="871"/>
    </row>
    <row r="45" spans="2:12" ht="12">
      <c r="B45" s="152">
        <v>852</v>
      </c>
      <c r="C45" s="88" t="s">
        <v>277</v>
      </c>
      <c r="D45" s="112">
        <f aca="true" t="shared" si="14" ref="D45:K45">SUM(D159+D244)+D341</f>
        <v>16941209</v>
      </c>
      <c r="E45" s="112">
        <f t="shared" si="14"/>
        <v>11470500.68</v>
      </c>
      <c r="F45" s="112">
        <f t="shared" si="14"/>
        <v>11463912.68</v>
      </c>
      <c r="G45" s="112">
        <f t="shared" si="14"/>
        <v>250072</v>
      </c>
      <c r="H45" s="112">
        <f t="shared" si="14"/>
        <v>2087142.1500000001</v>
      </c>
      <c r="I45" s="112">
        <f t="shared" si="14"/>
        <v>0</v>
      </c>
      <c r="J45" s="112">
        <f t="shared" si="14"/>
        <v>0</v>
      </c>
      <c r="K45" s="112">
        <f t="shared" si="14"/>
        <v>6588</v>
      </c>
      <c r="L45" s="931">
        <f>SUM(E45/D45)</f>
        <v>0.6770768650572695</v>
      </c>
    </row>
    <row r="46" spans="2:12" ht="12">
      <c r="B46" s="210"/>
      <c r="C46" s="120"/>
      <c r="D46" s="162"/>
      <c r="E46" s="162"/>
      <c r="F46" s="162"/>
      <c r="G46" s="162"/>
      <c r="H46" s="162"/>
      <c r="I46" s="162"/>
      <c r="J46" s="162"/>
      <c r="K46" s="162"/>
      <c r="L46" s="1298"/>
    </row>
    <row r="47" spans="2:12" ht="12">
      <c r="B47" s="84">
        <v>853</v>
      </c>
      <c r="C47" s="86" t="s">
        <v>278</v>
      </c>
      <c r="D47" s="105"/>
      <c r="E47" s="105"/>
      <c r="F47" s="105"/>
      <c r="G47" s="105"/>
      <c r="H47" s="105"/>
      <c r="I47" s="105"/>
      <c r="J47" s="105"/>
      <c r="K47" s="105"/>
      <c r="L47" s="871"/>
    </row>
    <row r="48" spans="2:12" ht="12">
      <c r="B48" s="152"/>
      <c r="C48" s="88" t="s">
        <v>279</v>
      </c>
      <c r="D48" s="112">
        <f aca="true" t="shared" si="15" ref="D48:K48">D173+D275+D309</f>
        <v>2069031</v>
      </c>
      <c r="E48" s="112">
        <f t="shared" si="15"/>
        <v>1325682.96</v>
      </c>
      <c r="F48" s="112">
        <f t="shared" si="15"/>
        <v>1325682.96</v>
      </c>
      <c r="G48" s="112">
        <f t="shared" si="15"/>
        <v>1051506</v>
      </c>
      <c r="H48" s="112">
        <f t="shared" si="15"/>
        <v>82944.87</v>
      </c>
      <c r="I48" s="112">
        <f t="shared" si="15"/>
        <v>0</v>
      </c>
      <c r="J48" s="112">
        <f t="shared" si="15"/>
        <v>0</v>
      </c>
      <c r="K48" s="112">
        <f t="shared" si="15"/>
        <v>0</v>
      </c>
      <c r="L48" s="931">
        <f>SUM(E48/D48)</f>
        <v>0.6407264850067496</v>
      </c>
    </row>
    <row r="49" spans="2:12" ht="12">
      <c r="B49" s="75"/>
      <c r="C49" s="70"/>
      <c r="D49" s="103"/>
      <c r="E49" s="103"/>
      <c r="F49" s="103"/>
      <c r="G49" s="103"/>
      <c r="H49" s="103"/>
      <c r="I49" s="103"/>
      <c r="J49" s="103"/>
      <c r="K49" s="103"/>
      <c r="L49" s="1299"/>
    </row>
    <row r="50" spans="2:12" ht="12">
      <c r="B50" s="152">
        <v>854</v>
      </c>
      <c r="C50" s="88" t="s">
        <v>280</v>
      </c>
      <c r="D50" s="112">
        <f>SUM(D178)</f>
        <v>545291</v>
      </c>
      <c r="E50" s="112">
        <f aca="true" t="shared" si="16" ref="E50:K50">SUM(E178)</f>
        <v>345657.95</v>
      </c>
      <c r="F50" s="112">
        <f t="shared" si="16"/>
        <v>345657.95</v>
      </c>
      <c r="G50" s="112">
        <f t="shared" si="16"/>
        <v>305000</v>
      </c>
      <c r="H50" s="112">
        <f t="shared" si="16"/>
        <v>0</v>
      </c>
      <c r="I50" s="112">
        <f t="shared" si="16"/>
        <v>0</v>
      </c>
      <c r="J50" s="112">
        <f t="shared" si="16"/>
        <v>0</v>
      </c>
      <c r="K50" s="112">
        <f t="shared" si="16"/>
        <v>0</v>
      </c>
      <c r="L50" s="931">
        <f>SUM(E50/D50)</f>
        <v>0.6338963049087551</v>
      </c>
    </row>
    <row r="51" spans="2:12" ht="12">
      <c r="B51" s="84"/>
      <c r="C51" s="86"/>
      <c r="D51" s="105"/>
      <c r="E51" s="105"/>
      <c r="F51" s="105"/>
      <c r="G51" s="105"/>
      <c r="H51" s="105"/>
      <c r="I51" s="105"/>
      <c r="J51" s="105"/>
      <c r="K51" s="105"/>
      <c r="L51" s="871"/>
    </row>
    <row r="52" spans="2:12" ht="12">
      <c r="B52" s="84">
        <v>900</v>
      </c>
      <c r="C52" s="86" t="s">
        <v>281</v>
      </c>
      <c r="D52" s="105"/>
      <c r="E52" s="105"/>
      <c r="F52" s="105"/>
      <c r="G52" s="105"/>
      <c r="H52" s="105"/>
      <c r="I52" s="105"/>
      <c r="J52" s="105"/>
      <c r="K52" s="105"/>
      <c r="L52" s="871"/>
    </row>
    <row r="53" spans="2:12" ht="12">
      <c r="B53" s="152"/>
      <c r="C53" s="88" t="s">
        <v>282</v>
      </c>
      <c r="D53" s="112">
        <f>SUM(D187)</f>
        <v>17332446</v>
      </c>
      <c r="E53" s="112">
        <f aca="true" t="shared" si="17" ref="E53:K53">SUM(E187)</f>
        <v>10037188</v>
      </c>
      <c r="F53" s="112">
        <f t="shared" si="17"/>
        <v>3356697.55</v>
      </c>
      <c r="G53" s="112">
        <f t="shared" si="17"/>
        <v>126000</v>
      </c>
      <c r="H53" s="112">
        <f t="shared" si="17"/>
        <v>152607.74</v>
      </c>
      <c r="I53" s="112">
        <f t="shared" si="17"/>
        <v>0</v>
      </c>
      <c r="J53" s="112">
        <f t="shared" si="17"/>
        <v>0</v>
      </c>
      <c r="K53" s="112">
        <f t="shared" si="17"/>
        <v>6680490.449999999</v>
      </c>
      <c r="L53" s="931">
        <f>SUM(E53/D53)</f>
        <v>0.5790981838339494</v>
      </c>
    </row>
    <row r="54" spans="2:12" ht="12">
      <c r="B54" s="84"/>
      <c r="C54" s="86"/>
      <c r="D54" s="105"/>
      <c r="E54" s="105"/>
      <c r="F54" s="105"/>
      <c r="G54" s="105"/>
      <c r="H54" s="105"/>
      <c r="I54" s="105"/>
      <c r="J54" s="105"/>
      <c r="K54" s="105"/>
      <c r="L54" s="871"/>
    </row>
    <row r="55" spans="2:12" ht="12">
      <c r="B55" s="84">
        <v>921</v>
      </c>
      <c r="C55" s="86" t="s">
        <v>283</v>
      </c>
      <c r="D55" s="105"/>
      <c r="E55" s="105"/>
      <c r="F55" s="105"/>
      <c r="G55" s="105"/>
      <c r="H55" s="105"/>
      <c r="I55" s="105"/>
      <c r="J55" s="105"/>
      <c r="K55" s="105"/>
      <c r="L55" s="871"/>
    </row>
    <row r="56" spans="1:13" s="76" customFormat="1" ht="12.75">
      <c r="A56" s="83"/>
      <c r="B56" s="152"/>
      <c r="C56" s="88" t="s">
        <v>284</v>
      </c>
      <c r="D56" s="112">
        <f>SUM(D200)</f>
        <v>5731528</v>
      </c>
      <c r="E56" s="112">
        <f aca="true" t="shared" si="18" ref="E56:K56">SUM(E200)</f>
        <v>3141257.23</v>
      </c>
      <c r="F56" s="112">
        <f t="shared" si="18"/>
        <v>3100491.87</v>
      </c>
      <c r="G56" s="112">
        <f t="shared" si="18"/>
        <v>2642955.44</v>
      </c>
      <c r="H56" s="112">
        <f t="shared" si="18"/>
        <v>81760.95</v>
      </c>
      <c r="I56" s="112">
        <f t="shared" si="18"/>
        <v>0</v>
      </c>
      <c r="J56" s="112">
        <f t="shared" si="18"/>
        <v>0</v>
      </c>
      <c r="K56" s="112">
        <f t="shared" si="18"/>
        <v>40765.36</v>
      </c>
      <c r="L56" s="931">
        <f>SUM(E56/D56)</f>
        <v>0.5480662800565573</v>
      </c>
      <c r="M56" s="212"/>
    </row>
    <row r="57" spans="2:12" ht="12">
      <c r="B57" s="84"/>
      <c r="C57" s="120"/>
      <c r="D57" s="105"/>
      <c r="E57" s="105"/>
      <c r="F57" s="105"/>
      <c r="G57" s="105"/>
      <c r="H57" s="105"/>
      <c r="I57" s="105"/>
      <c r="J57" s="105"/>
      <c r="K57" s="105"/>
      <c r="L57" s="871"/>
    </row>
    <row r="58" spans="2:12" ht="12">
      <c r="B58" s="152">
        <v>926</v>
      </c>
      <c r="C58" s="211" t="s">
        <v>82</v>
      </c>
      <c r="D58" s="112">
        <f aca="true" t="shared" si="19" ref="D58:K58">SUM(D207)+D325</f>
        <v>5679702</v>
      </c>
      <c r="E58" s="112">
        <f t="shared" si="19"/>
        <v>2485469.5599999996</v>
      </c>
      <c r="F58" s="112">
        <f t="shared" si="19"/>
        <v>2242827.42</v>
      </c>
      <c r="G58" s="112">
        <f t="shared" si="19"/>
        <v>714200</v>
      </c>
      <c r="H58" s="112">
        <f t="shared" si="19"/>
        <v>658783.55</v>
      </c>
      <c r="I58" s="112">
        <f t="shared" si="19"/>
        <v>0</v>
      </c>
      <c r="J58" s="112">
        <f t="shared" si="19"/>
        <v>0</v>
      </c>
      <c r="K58" s="112">
        <f t="shared" si="19"/>
        <v>242642.14</v>
      </c>
      <c r="L58" s="931">
        <f>SUM(E58/D58)</f>
        <v>0.43760562790090035</v>
      </c>
    </row>
    <row r="59" spans="2:13" s="481" customFormat="1" ht="12">
      <c r="B59" s="1415"/>
      <c r="C59" s="1420" t="s">
        <v>83</v>
      </c>
      <c r="D59" s="1412">
        <f aca="true" t="shared" si="20" ref="D59:K59">SUM(D9:D38,D41:D58)</f>
        <v>130500102.31</v>
      </c>
      <c r="E59" s="1412">
        <f t="shared" si="20"/>
        <v>84040531.66000001</v>
      </c>
      <c r="F59" s="1412">
        <f t="shared" si="20"/>
        <v>66761663.32</v>
      </c>
      <c r="G59" s="1412">
        <f t="shared" si="20"/>
        <v>34170613.010000005</v>
      </c>
      <c r="H59" s="1412">
        <f t="shared" si="20"/>
        <v>9888120.139999999</v>
      </c>
      <c r="I59" s="1412">
        <f t="shared" si="20"/>
        <v>134412.44</v>
      </c>
      <c r="J59" s="1412">
        <f t="shared" si="20"/>
        <v>0</v>
      </c>
      <c r="K59" s="1412">
        <f t="shared" si="20"/>
        <v>17278868.339999996</v>
      </c>
      <c r="L59" s="1410">
        <f>SUM(E59/D59)</f>
        <v>0.6439882434755771</v>
      </c>
      <c r="M59" s="1330"/>
    </row>
    <row r="60" spans="1:16" s="1333" customFormat="1" ht="18.75" thickBot="1">
      <c r="A60" s="1331"/>
      <c r="B60" s="1416"/>
      <c r="C60" s="1421"/>
      <c r="D60" s="1413"/>
      <c r="E60" s="1413"/>
      <c r="F60" s="1413"/>
      <c r="G60" s="1413"/>
      <c r="H60" s="1413"/>
      <c r="I60" s="1413"/>
      <c r="J60" s="1413"/>
      <c r="K60" s="1413"/>
      <c r="L60" s="1411"/>
      <c r="M60" s="1332"/>
      <c r="N60" s="1332"/>
      <c r="O60" s="1332"/>
      <c r="P60" s="1332"/>
    </row>
    <row r="61" spans="1:13" s="82" customFormat="1" ht="12">
      <c r="A61" s="83"/>
      <c r="B61" s="77"/>
      <c r="C61" s="221"/>
      <c r="D61" s="273"/>
      <c r="E61" s="221"/>
      <c r="F61" s="273"/>
      <c r="G61" s="273"/>
      <c r="H61" s="273"/>
      <c r="I61" s="273"/>
      <c r="J61" s="273"/>
      <c r="K61" s="273"/>
      <c r="L61" s="1301"/>
      <c r="M61" s="215"/>
    </row>
    <row r="62" spans="1:13" s="82" customFormat="1" ht="15" customHeight="1">
      <c r="A62" s="83"/>
      <c r="B62" s="78"/>
      <c r="C62" s="247"/>
      <c r="D62" s="273"/>
      <c r="E62" s="221"/>
      <c r="F62" s="273"/>
      <c r="G62" s="273"/>
      <c r="H62" s="273"/>
      <c r="I62" s="273"/>
      <c r="J62" s="273"/>
      <c r="K62" s="273"/>
      <c r="L62" s="135"/>
      <c r="M62" s="215"/>
    </row>
    <row r="63" spans="1:12" ht="15.75" customHeight="1">
      <c r="A63" s="1398" t="s">
        <v>406</v>
      </c>
      <c r="B63" s="1398"/>
      <c r="C63" s="1398"/>
      <c r="D63" s="1398"/>
      <c r="E63" s="1398"/>
      <c r="F63" s="1398"/>
      <c r="G63" s="1398"/>
      <c r="H63" s="1398"/>
      <c r="I63" s="1398"/>
      <c r="J63" s="1398"/>
      <c r="K63" s="1398"/>
      <c r="L63" s="213"/>
    </row>
    <row r="64" spans="1:12" ht="12.75" customHeight="1">
      <c r="A64" s="1381"/>
      <c r="B64" s="1381"/>
      <c r="C64" s="1381"/>
      <c r="D64" s="1381"/>
      <c r="E64" s="1381"/>
      <c r="F64" s="1381"/>
      <c r="G64" s="1381"/>
      <c r="H64" s="1381"/>
      <c r="I64" s="1381"/>
      <c r="J64" s="1381"/>
      <c r="K64" s="1381"/>
      <c r="L64" s="216"/>
    </row>
    <row r="65" spans="1:13" s="224" customFormat="1" ht="12.75" customHeight="1" thickBot="1">
      <c r="A65" s="125"/>
      <c r="B65" s="125"/>
      <c r="C65" s="125"/>
      <c r="D65" s="274"/>
      <c r="E65" s="222"/>
      <c r="F65" s="274"/>
      <c r="G65" s="274"/>
      <c r="H65" s="274"/>
      <c r="I65" s="274"/>
      <c r="J65" s="274"/>
      <c r="K65" s="585"/>
      <c r="L65" s="492" t="s">
        <v>57</v>
      </c>
      <c r="M65" s="223"/>
    </row>
    <row r="66" spans="1:12" ht="12" customHeight="1">
      <c r="A66" s="1382" t="s">
        <v>58</v>
      </c>
      <c r="B66" s="1385" t="s">
        <v>84</v>
      </c>
      <c r="C66" s="1388" t="s">
        <v>86</v>
      </c>
      <c r="D66" s="1391" t="s">
        <v>60</v>
      </c>
      <c r="E66" s="1391" t="s">
        <v>341</v>
      </c>
      <c r="F66" s="1399" t="s">
        <v>61</v>
      </c>
      <c r="G66" s="1400"/>
      <c r="H66" s="1400"/>
      <c r="I66" s="1400"/>
      <c r="J66" s="1400"/>
      <c r="K66" s="1400"/>
      <c r="L66" s="1407" t="s">
        <v>632</v>
      </c>
    </row>
    <row r="67" spans="1:12" ht="12">
      <c r="A67" s="1383"/>
      <c r="B67" s="1386"/>
      <c r="C67" s="1389"/>
      <c r="D67" s="1392"/>
      <c r="E67" s="1392"/>
      <c r="F67" s="1401" t="s">
        <v>257</v>
      </c>
      <c r="G67" s="1394" t="s">
        <v>258</v>
      </c>
      <c r="H67" s="1394"/>
      <c r="I67" s="1394"/>
      <c r="J67" s="1394"/>
      <c r="K67" s="1339" t="s">
        <v>259</v>
      </c>
      <c r="L67" s="1408"/>
    </row>
    <row r="68" spans="1:12" ht="36">
      <c r="A68" s="1384"/>
      <c r="B68" s="1387"/>
      <c r="C68" s="1390"/>
      <c r="D68" s="1393"/>
      <c r="E68" s="1393"/>
      <c r="F68" s="1393"/>
      <c r="G68" s="102" t="s">
        <v>260</v>
      </c>
      <c r="H68" s="102" t="s">
        <v>285</v>
      </c>
      <c r="I68" s="102" t="s">
        <v>262</v>
      </c>
      <c r="J68" s="102" t="s">
        <v>263</v>
      </c>
      <c r="K68" s="1379"/>
      <c r="L68" s="1409"/>
    </row>
    <row r="69" spans="1:13" s="118" customFormat="1" ht="12">
      <c r="A69" s="1309">
        <v>1</v>
      </c>
      <c r="B69" s="1310">
        <v>2</v>
      </c>
      <c r="C69" s="1311">
        <v>3</v>
      </c>
      <c r="D69" s="1310">
        <v>4</v>
      </c>
      <c r="E69" s="1310">
        <v>5</v>
      </c>
      <c r="F69" s="1310">
        <v>6</v>
      </c>
      <c r="G69" s="1310">
        <v>7</v>
      </c>
      <c r="H69" s="1310">
        <v>8</v>
      </c>
      <c r="I69" s="1310">
        <v>9</v>
      </c>
      <c r="J69" s="1310">
        <v>10</v>
      </c>
      <c r="K69" s="1310">
        <v>11</v>
      </c>
      <c r="L69" s="1312" t="s">
        <v>628</v>
      </c>
      <c r="M69" s="135"/>
    </row>
    <row r="70" spans="1:12" ht="12">
      <c r="A70" s="114"/>
      <c r="B70" s="86"/>
      <c r="C70" s="86"/>
      <c r="D70" s="105"/>
      <c r="E70" s="105"/>
      <c r="F70" s="105"/>
      <c r="G70" s="105"/>
      <c r="H70" s="105"/>
      <c r="I70" s="105"/>
      <c r="J70" s="105"/>
      <c r="K70" s="105"/>
      <c r="L70" s="1296"/>
    </row>
    <row r="71" spans="1:12" ht="12">
      <c r="A71" s="150" t="s">
        <v>264</v>
      </c>
      <c r="B71" s="87"/>
      <c r="C71" s="88" t="s">
        <v>265</v>
      </c>
      <c r="D71" s="112">
        <f aca="true" t="shared" si="21" ref="D71:K71">SUM(D73:D75)</f>
        <v>61300</v>
      </c>
      <c r="E71" s="112">
        <f>SUM(E73:E75)</f>
        <v>51435.71</v>
      </c>
      <c r="F71" s="112">
        <f t="shared" si="21"/>
        <v>51435.71</v>
      </c>
      <c r="G71" s="112">
        <f t="shared" si="21"/>
        <v>0</v>
      </c>
      <c r="H71" s="112">
        <f t="shared" si="21"/>
        <v>0</v>
      </c>
      <c r="I71" s="112">
        <f t="shared" si="21"/>
        <v>0</v>
      </c>
      <c r="J71" s="112">
        <f t="shared" si="21"/>
        <v>0</v>
      </c>
      <c r="K71" s="112">
        <f t="shared" si="21"/>
        <v>0</v>
      </c>
      <c r="L71" s="931">
        <f>SUM(E71/D71)</f>
        <v>0.8390817292006525</v>
      </c>
    </row>
    <row r="72" spans="1:12" ht="12">
      <c r="A72" s="84"/>
      <c r="B72" s="85"/>
      <c r="C72" s="86"/>
      <c r="D72" s="105"/>
      <c r="E72" s="105"/>
      <c r="F72" s="270"/>
      <c r="G72" s="270"/>
      <c r="H72" s="270"/>
      <c r="I72" s="270"/>
      <c r="J72" s="270"/>
      <c r="K72" s="270"/>
      <c r="L72" s="1298"/>
    </row>
    <row r="73" spans="1:12" ht="12">
      <c r="A73" s="84"/>
      <c r="B73" s="225" t="s">
        <v>286</v>
      </c>
      <c r="C73" s="226" t="s">
        <v>287</v>
      </c>
      <c r="D73" s="105">
        <v>54300</v>
      </c>
      <c r="E73" s="105">
        <f>SUM(F73+K73)</f>
        <v>47671.02</v>
      </c>
      <c r="F73" s="151">
        <v>47671.02</v>
      </c>
      <c r="G73" s="269"/>
      <c r="H73" s="269"/>
      <c r="I73" s="269"/>
      <c r="J73" s="269"/>
      <c r="K73" s="269"/>
      <c r="L73" s="871">
        <f aca="true" t="shared" si="22" ref="L73:L134">SUM(E73/D73)</f>
        <v>0.8779193370165745</v>
      </c>
    </row>
    <row r="74" spans="1:12" ht="12">
      <c r="A74" s="84"/>
      <c r="B74" s="225" t="s">
        <v>288</v>
      </c>
      <c r="C74" s="226" t="s">
        <v>289</v>
      </c>
      <c r="D74" s="105">
        <v>6000</v>
      </c>
      <c r="E74" s="105">
        <f>SUM(F74+K74)</f>
        <v>3044.69</v>
      </c>
      <c r="F74" s="151">
        <v>3044.69</v>
      </c>
      <c r="G74" s="269"/>
      <c r="H74" s="269"/>
      <c r="I74" s="269"/>
      <c r="J74" s="269"/>
      <c r="K74" s="269"/>
      <c r="L74" s="871">
        <f t="shared" si="22"/>
        <v>0.5074483333333334</v>
      </c>
    </row>
    <row r="75" spans="1:12" ht="12.75" thickBot="1">
      <c r="A75" s="246"/>
      <c r="B75" s="227" t="s">
        <v>290</v>
      </c>
      <c r="C75" s="228" t="s">
        <v>110</v>
      </c>
      <c r="D75" s="539">
        <v>1000</v>
      </c>
      <c r="E75" s="539">
        <f>SUM(F75+K75)</f>
        <v>720.0000000000007</v>
      </c>
      <c r="F75" s="111">
        <f>6123.31-5297.36-105.95</f>
        <v>720.0000000000007</v>
      </c>
      <c r="G75" s="275"/>
      <c r="H75" s="275"/>
      <c r="I75" s="275"/>
      <c r="J75" s="275"/>
      <c r="K75" s="275"/>
      <c r="L75" s="1304">
        <f t="shared" si="22"/>
        <v>0.7200000000000006</v>
      </c>
    </row>
    <row r="76" spans="1:12" ht="12.75" thickTop="1">
      <c r="A76" s="84"/>
      <c r="B76" s="85"/>
      <c r="C76" s="86"/>
      <c r="D76" s="105"/>
      <c r="E76" s="105"/>
      <c r="F76" s="270"/>
      <c r="G76" s="270"/>
      <c r="H76" s="270"/>
      <c r="I76" s="270"/>
      <c r="J76" s="270"/>
      <c r="K76" s="270"/>
      <c r="L76" s="871"/>
    </row>
    <row r="77" spans="1:12" ht="12">
      <c r="A77" s="84">
        <v>400</v>
      </c>
      <c r="B77" s="85"/>
      <c r="C77" s="86" t="s">
        <v>267</v>
      </c>
      <c r="D77" s="105"/>
      <c r="E77" s="105"/>
      <c r="F77" s="270"/>
      <c r="G77" s="270"/>
      <c r="H77" s="270"/>
      <c r="I77" s="270"/>
      <c r="J77" s="270"/>
      <c r="K77" s="270"/>
      <c r="L77" s="871"/>
    </row>
    <row r="78" spans="1:12" ht="12">
      <c r="A78" s="84"/>
      <c r="B78" s="87"/>
      <c r="C78" s="88" t="s">
        <v>268</v>
      </c>
      <c r="D78" s="107">
        <f>SUM(D80:D81)</f>
        <v>631807</v>
      </c>
      <c r="E78" s="107">
        <f>SUM(E80:E81)</f>
        <v>81855.49</v>
      </c>
      <c r="F78" s="107">
        <f>SUM(F80:F81)</f>
        <v>15809.570000000009</v>
      </c>
      <c r="G78" s="107">
        <f>SUM(G80:G80)</f>
        <v>0</v>
      </c>
      <c r="H78" s="107">
        <f>SUM(H80:H80)</f>
        <v>0</v>
      </c>
      <c r="I78" s="107">
        <f>SUM(I80:I80)</f>
        <v>0</v>
      </c>
      <c r="J78" s="107">
        <f>SUM(J80:J80)</f>
        <v>0</v>
      </c>
      <c r="K78" s="112">
        <f>SUM(K80:K80)</f>
        <v>66045.92</v>
      </c>
      <c r="L78" s="931">
        <f t="shared" si="22"/>
        <v>0.12955774469102116</v>
      </c>
    </row>
    <row r="79" spans="1:12" ht="12">
      <c r="A79" s="84"/>
      <c r="B79" s="85"/>
      <c r="C79" s="86"/>
      <c r="D79" s="105"/>
      <c r="E79" s="105"/>
      <c r="F79" s="270"/>
      <c r="G79" s="270"/>
      <c r="H79" s="270"/>
      <c r="I79" s="270"/>
      <c r="J79" s="270"/>
      <c r="K79" s="270"/>
      <c r="L79" s="871"/>
    </row>
    <row r="80" spans="1:12" ht="12">
      <c r="A80" s="254"/>
      <c r="B80" s="108">
        <v>40002</v>
      </c>
      <c r="C80" s="109" t="s">
        <v>87</v>
      </c>
      <c r="D80" s="105">
        <v>481807</v>
      </c>
      <c r="E80" s="110">
        <f>SUM(F80+K80)</f>
        <v>67767.71</v>
      </c>
      <c r="F80" s="110">
        <f>67767.71-66045.92</f>
        <v>1721.7900000000081</v>
      </c>
      <c r="G80" s="522"/>
      <c r="H80" s="110"/>
      <c r="I80" s="110"/>
      <c r="J80" s="110"/>
      <c r="K80" s="105">
        <v>66045.92</v>
      </c>
      <c r="L80" s="871">
        <f t="shared" si="22"/>
        <v>0.14065322836737534</v>
      </c>
    </row>
    <row r="81" spans="1:12" ht="12.75" thickBot="1">
      <c r="A81" s="246"/>
      <c r="B81" s="229">
        <v>40004</v>
      </c>
      <c r="C81" s="228" t="s">
        <v>291</v>
      </c>
      <c r="D81" s="539">
        <v>150000</v>
      </c>
      <c r="E81" s="539">
        <f>SUM(F81+K81)</f>
        <v>14087.78</v>
      </c>
      <c r="F81" s="111">
        <v>14087.78</v>
      </c>
      <c r="G81" s="275"/>
      <c r="H81" s="275"/>
      <c r="I81" s="275"/>
      <c r="J81" s="275"/>
      <c r="K81" s="275"/>
      <c r="L81" s="1304">
        <f t="shared" si="22"/>
        <v>0.09391853333333333</v>
      </c>
    </row>
    <row r="82" spans="1:12" ht="12.75" thickTop="1">
      <c r="A82" s="84"/>
      <c r="B82" s="85"/>
      <c r="C82" s="86"/>
      <c r="D82" s="105"/>
      <c r="E82" s="105"/>
      <c r="F82" s="270"/>
      <c r="G82" s="270"/>
      <c r="H82" s="270"/>
      <c r="I82" s="270"/>
      <c r="J82" s="270"/>
      <c r="K82" s="270"/>
      <c r="L82" s="871"/>
    </row>
    <row r="83" spans="1:12" ht="12">
      <c r="A83" s="84">
        <v>600</v>
      </c>
      <c r="B83" s="87"/>
      <c r="C83" s="88" t="s">
        <v>65</v>
      </c>
      <c r="D83" s="112">
        <f>SUM(D85:D86)</f>
        <v>6221883</v>
      </c>
      <c r="E83" s="112">
        <f>SUM(E85:E86)</f>
        <v>4335704.79</v>
      </c>
      <c r="F83" s="112">
        <f aca="true" t="shared" si="23" ref="F83:K83">SUM(F85:F86)</f>
        <v>4225904.79</v>
      </c>
      <c r="G83" s="112">
        <f t="shared" si="23"/>
        <v>0</v>
      </c>
      <c r="H83" s="112">
        <f t="shared" si="23"/>
        <v>0</v>
      </c>
      <c r="I83" s="112">
        <f t="shared" si="23"/>
        <v>0</v>
      </c>
      <c r="J83" s="112">
        <f t="shared" si="23"/>
        <v>0</v>
      </c>
      <c r="K83" s="112">
        <f t="shared" si="23"/>
        <v>109800</v>
      </c>
      <c r="L83" s="931">
        <f>SUM(E83/D83)</f>
        <v>0.6968476890356183</v>
      </c>
    </row>
    <row r="84" spans="1:12" ht="12">
      <c r="A84" s="84"/>
      <c r="B84" s="85"/>
      <c r="C84" s="86"/>
      <c r="D84" s="105"/>
      <c r="E84" s="105"/>
      <c r="F84" s="270"/>
      <c r="G84" s="270"/>
      <c r="H84" s="270"/>
      <c r="I84" s="270"/>
      <c r="J84" s="270"/>
      <c r="K84" s="270"/>
      <c r="L84" s="871"/>
    </row>
    <row r="85" spans="1:12" ht="12">
      <c r="A85" s="84"/>
      <c r="B85" s="85">
        <v>60004</v>
      </c>
      <c r="C85" s="86" t="s">
        <v>292</v>
      </c>
      <c r="D85" s="105">
        <v>3998983</v>
      </c>
      <c r="E85" s="110">
        <f>SUM(F85+K85)</f>
        <v>2809249.91</v>
      </c>
      <c r="F85" s="105">
        <v>2809249.91</v>
      </c>
      <c r="G85" s="105"/>
      <c r="H85" s="105"/>
      <c r="I85" s="105"/>
      <c r="J85" s="105"/>
      <c r="K85" s="105"/>
      <c r="L85" s="871">
        <f t="shared" si="22"/>
        <v>0.7024910858585796</v>
      </c>
    </row>
    <row r="86" spans="1:12" ht="12.75" thickBot="1">
      <c r="A86" s="246"/>
      <c r="B86" s="229">
        <v>60016</v>
      </c>
      <c r="C86" s="228" t="s">
        <v>90</v>
      </c>
      <c r="D86" s="111">
        <v>2222900</v>
      </c>
      <c r="E86" s="111">
        <f>SUM(F86+K86)</f>
        <v>1526454.88</v>
      </c>
      <c r="F86" s="111">
        <f>1526454.88-109800</f>
        <v>1416654.88</v>
      </c>
      <c r="G86" s="111"/>
      <c r="H86" s="111"/>
      <c r="I86" s="111"/>
      <c r="J86" s="111"/>
      <c r="K86" s="111">
        <v>109800</v>
      </c>
      <c r="L86" s="1304">
        <f t="shared" si="22"/>
        <v>0.6866952539475459</v>
      </c>
    </row>
    <row r="87" spans="1:12" ht="12.75" thickTop="1">
      <c r="A87" s="84"/>
      <c r="B87" s="85"/>
      <c r="C87" s="86"/>
      <c r="D87" s="105"/>
      <c r="E87" s="105"/>
      <c r="F87" s="105"/>
      <c r="G87" s="105"/>
      <c r="H87" s="105"/>
      <c r="I87" s="105"/>
      <c r="J87" s="105"/>
      <c r="K87" s="105"/>
      <c r="L87" s="871"/>
    </row>
    <row r="88" spans="1:12" ht="12">
      <c r="A88" s="84">
        <v>630</v>
      </c>
      <c r="B88" s="87"/>
      <c r="C88" s="88" t="s">
        <v>269</v>
      </c>
      <c r="D88" s="112">
        <f aca="true" t="shared" si="24" ref="D88:K88">SUM(D90:D90)</f>
        <v>92216</v>
      </c>
      <c r="E88" s="112">
        <f>SUM(E90:E90)</f>
        <v>13200.3</v>
      </c>
      <c r="F88" s="112">
        <f t="shared" si="24"/>
        <v>13200.3</v>
      </c>
      <c r="G88" s="112">
        <f t="shared" si="24"/>
        <v>10000</v>
      </c>
      <c r="H88" s="112">
        <f t="shared" si="24"/>
        <v>0</v>
      </c>
      <c r="I88" s="112">
        <f t="shared" si="24"/>
        <v>0</v>
      </c>
      <c r="J88" s="112">
        <f t="shared" si="24"/>
        <v>0</v>
      </c>
      <c r="K88" s="112">
        <f t="shared" si="24"/>
        <v>0</v>
      </c>
      <c r="L88" s="931">
        <f t="shared" si="22"/>
        <v>0.14314544113819727</v>
      </c>
    </row>
    <row r="89" spans="1:12" ht="12">
      <c r="A89" s="84"/>
      <c r="B89" s="85"/>
      <c r="C89" s="86"/>
      <c r="D89" s="105"/>
      <c r="E89" s="105"/>
      <c r="F89" s="105"/>
      <c r="G89" s="105"/>
      <c r="H89" s="105"/>
      <c r="I89" s="105"/>
      <c r="J89" s="105"/>
      <c r="K89" s="105"/>
      <c r="L89" s="871"/>
    </row>
    <row r="90" spans="1:12" ht="12.75" thickBot="1">
      <c r="A90" s="246"/>
      <c r="B90" s="229">
        <v>63003</v>
      </c>
      <c r="C90" s="228" t="s">
        <v>293</v>
      </c>
      <c r="D90" s="111">
        <v>92216</v>
      </c>
      <c r="E90" s="111">
        <f>SUM(F90+K90)</f>
        <v>13200.3</v>
      </c>
      <c r="F90" s="111">
        <v>13200.3</v>
      </c>
      <c r="G90" s="111">
        <v>10000</v>
      </c>
      <c r="H90" s="111"/>
      <c r="I90" s="111"/>
      <c r="J90" s="111"/>
      <c r="K90" s="111">
        <v>0</v>
      </c>
      <c r="L90" s="1304">
        <f t="shared" si="22"/>
        <v>0.14314544113819727</v>
      </c>
    </row>
    <row r="91" spans="1:12" ht="12.75" thickTop="1">
      <c r="A91" s="84"/>
      <c r="B91" s="85"/>
      <c r="C91" s="86"/>
      <c r="D91" s="105"/>
      <c r="E91" s="105"/>
      <c r="F91" s="270"/>
      <c r="G91" s="270"/>
      <c r="H91" s="270"/>
      <c r="I91" s="270"/>
      <c r="J91" s="270"/>
      <c r="K91" s="270"/>
      <c r="L91" s="871"/>
    </row>
    <row r="92" spans="1:12" ht="12">
      <c r="A92" s="84">
        <v>700</v>
      </c>
      <c r="B92" s="87"/>
      <c r="C92" s="88" t="s">
        <v>66</v>
      </c>
      <c r="D92" s="112">
        <f aca="true" t="shared" si="25" ref="D92:K92">SUM(D94:D96)</f>
        <v>13471700</v>
      </c>
      <c r="E92" s="112">
        <f>SUM(E94:E96)</f>
        <v>8885394.32</v>
      </c>
      <c r="F92" s="112">
        <f t="shared" si="25"/>
        <v>2376043.99</v>
      </c>
      <c r="G92" s="112">
        <f t="shared" si="25"/>
        <v>2252000</v>
      </c>
      <c r="H92" s="112">
        <f t="shared" si="25"/>
        <v>26300</v>
      </c>
      <c r="I92" s="112">
        <f t="shared" si="25"/>
        <v>0</v>
      </c>
      <c r="J92" s="112">
        <f t="shared" si="25"/>
        <v>0</v>
      </c>
      <c r="K92" s="112">
        <f t="shared" si="25"/>
        <v>6509350.33</v>
      </c>
      <c r="L92" s="931">
        <f t="shared" si="22"/>
        <v>0.6595599902016821</v>
      </c>
    </row>
    <row r="93" spans="1:12" ht="12">
      <c r="A93" s="84"/>
      <c r="B93" s="85"/>
      <c r="C93" s="86"/>
      <c r="D93" s="105"/>
      <c r="E93" s="105"/>
      <c r="F93" s="270"/>
      <c r="G93" s="270"/>
      <c r="H93" s="270"/>
      <c r="I93" s="270"/>
      <c r="J93" s="270"/>
      <c r="K93" s="270"/>
      <c r="L93" s="871"/>
    </row>
    <row r="94" spans="1:12" ht="12">
      <c r="A94" s="84"/>
      <c r="B94" s="85">
        <v>70001</v>
      </c>
      <c r="C94" s="86" t="s">
        <v>91</v>
      </c>
      <c r="D94" s="105">
        <v>7984200</v>
      </c>
      <c r="E94" s="105">
        <f>SUM(F94+K94)</f>
        <v>6844198.71</v>
      </c>
      <c r="F94" s="105">
        <v>2252000</v>
      </c>
      <c r="G94" s="105">
        <v>2252000</v>
      </c>
      <c r="H94" s="105"/>
      <c r="I94" s="105"/>
      <c r="J94" s="105"/>
      <c r="K94" s="105">
        <v>4592198.71</v>
      </c>
      <c r="L94" s="871">
        <f t="shared" si="22"/>
        <v>0.8572178439918839</v>
      </c>
    </row>
    <row r="95" spans="1:12" ht="12">
      <c r="A95" s="84"/>
      <c r="B95" s="85">
        <v>70005</v>
      </c>
      <c r="C95" s="86" t="s">
        <v>92</v>
      </c>
      <c r="D95" s="105">
        <v>209000</v>
      </c>
      <c r="E95" s="105">
        <f>SUM(F95+K95)</f>
        <v>124043.99</v>
      </c>
      <c r="F95" s="105">
        <v>124043.99</v>
      </c>
      <c r="G95" s="270"/>
      <c r="H95" s="105">
        <v>26300</v>
      </c>
      <c r="I95" s="270"/>
      <c r="J95" s="270"/>
      <c r="K95" s="270"/>
      <c r="L95" s="871">
        <f t="shared" si="22"/>
        <v>0.5935119138755981</v>
      </c>
    </row>
    <row r="96" spans="1:12" ht="12.75" thickBot="1">
      <c r="A96" s="246"/>
      <c r="B96" s="229">
        <v>70095</v>
      </c>
      <c r="C96" s="228" t="s">
        <v>110</v>
      </c>
      <c r="D96" s="539">
        <v>5278500</v>
      </c>
      <c r="E96" s="539">
        <f>SUM(F96+K96)</f>
        <v>1917151.62</v>
      </c>
      <c r="F96" s="111">
        <v>0</v>
      </c>
      <c r="G96" s="275"/>
      <c r="H96" s="275"/>
      <c r="I96" s="275"/>
      <c r="J96" s="275"/>
      <c r="K96" s="111">
        <v>1917151.62</v>
      </c>
      <c r="L96" s="1304">
        <f t="shared" si="22"/>
        <v>0.3632000795680591</v>
      </c>
    </row>
    <row r="97" spans="1:12" ht="12.75" thickTop="1">
      <c r="A97" s="84"/>
      <c r="B97" s="85"/>
      <c r="C97" s="86"/>
      <c r="D97" s="105"/>
      <c r="E97" s="105"/>
      <c r="F97" s="270"/>
      <c r="G97" s="270"/>
      <c r="H97" s="270"/>
      <c r="I97" s="270"/>
      <c r="J97" s="270"/>
      <c r="K97" s="270"/>
      <c r="L97" s="871"/>
    </row>
    <row r="98" spans="1:12" ht="12">
      <c r="A98" s="84">
        <v>710</v>
      </c>
      <c r="B98" s="87"/>
      <c r="C98" s="88" t="s">
        <v>270</v>
      </c>
      <c r="D98" s="112">
        <f aca="true" t="shared" si="26" ref="D98:K98">SUM(D100:D102)</f>
        <v>4930668</v>
      </c>
      <c r="E98" s="112">
        <f>SUM(E100:E102)</f>
        <v>3471312.5500000003</v>
      </c>
      <c r="F98" s="112">
        <f t="shared" si="26"/>
        <v>750842.5500000002</v>
      </c>
      <c r="G98" s="112">
        <f t="shared" si="26"/>
        <v>0</v>
      </c>
      <c r="H98" s="112">
        <f t="shared" si="26"/>
        <v>300</v>
      </c>
      <c r="I98" s="112">
        <f t="shared" si="26"/>
        <v>0</v>
      </c>
      <c r="J98" s="112">
        <f t="shared" si="26"/>
        <v>0</v>
      </c>
      <c r="K98" s="112">
        <f t="shared" si="26"/>
        <v>2720470</v>
      </c>
      <c r="L98" s="931">
        <f t="shared" si="22"/>
        <v>0.7040247994795026</v>
      </c>
    </row>
    <row r="99" spans="1:13" s="65" customFormat="1" ht="12">
      <c r="A99" s="84"/>
      <c r="B99" s="85"/>
      <c r="C99" s="86"/>
      <c r="D99" s="105"/>
      <c r="E99" s="105"/>
      <c r="F99" s="270"/>
      <c r="G99" s="270"/>
      <c r="H99" s="270"/>
      <c r="I99" s="270"/>
      <c r="J99" s="270"/>
      <c r="K99" s="270"/>
      <c r="L99" s="871"/>
      <c r="M99" s="137"/>
    </row>
    <row r="100" spans="1:12" ht="12">
      <c r="A100" s="84"/>
      <c r="B100" s="85">
        <v>71004</v>
      </c>
      <c r="C100" s="86" t="s">
        <v>294</v>
      </c>
      <c r="D100" s="105">
        <v>319768</v>
      </c>
      <c r="E100" s="105">
        <f>SUM(F100+K100)</f>
        <v>279641.16</v>
      </c>
      <c r="F100" s="105">
        <v>279641.16</v>
      </c>
      <c r="G100" s="105"/>
      <c r="H100" s="105">
        <v>300</v>
      </c>
      <c r="I100" s="270"/>
      <c r="J100" s="270"/>
      <c r="K100" s="270"/>
      <c r="L100" s="871">
        <f t="shared" si="22"/>
        <v>0.8745126466688348</v>
      </c>
    </row>
    <row r="101" spans="1:12" ht="12">
      <c r="A101" s="84"/>
      <c r="B101" s="85">
        <v>71014</v>
      </c>
      <c r="C101" s="86" t="s">
        <v>295</v>
      </c>
      <c r="D101" s="105">
        <v>60000</v>
      </c>
      <c r="E101" s="105">
        <f>SUM(F101+K101)</f>
        <v>6003.94</v>
      </c>
      <c r="F101" s="105">
        <v>6003.94</v>
      </c>
      <c r="G101" s="105"/>
      <c r="H101" s="105">
        <v>0</v>
      </c>
      <c r="I101" s="105"/>
      <c r="J101" s="105"/>
      <c r="K101" s="105"/>
      <c r="L101" s="871">
        <f t="shared" si="22"/>
        <v>0.10006566666666666</v>
      </c>
    </row>
    <row r="102" spans="1:12" ht="12.75" thickBot="1">
      <c r="A102" s="89"/>
      <c r="B102" s="230">
        <v>71095</v>
      </c>
      <c r="C102" s="90" t="s">
        <v>110</v>
      </c>
      <c r="D102" s="113">
        <v>4550900</v>
      </c>
      <c r="E102" s="544">
        <f>SUM(F102+K102)</f>
        <v>3185667.45</v>
      </c>
      <c r="F102" s="113">
        <f>3185667.45-2570-2717900</f>
        <v>465197.4500000002</v>
      </c>
      <c r="G102" s="271"/>
      <c r="H102" s="113">
        <v>0</v>
      </c>
      <c r="I102" s="271"/>
      <c r="J102" s="271"/>
      <c r="K102" s="113">
        <f>2717900+2570</f>
        <v>2720470</v>
      </c>
      <c r="L102" s="1297">
        <f t="shared" si="22"/>
        <v>0.7000082291414885</v>
      </c>
    </row>
    <row r="103" spans="1:12" ht="12">
      <c r="A103" s="71">
        <v>1</v>
      </c>
      <c r="B103" s="72">
        <v>2</v>
      </c>
      <c r="C103" s="72">
        <v>3</v>
      </c>
      <c r="D103" s="73">
        <v>4</v>
      </c>
      <c r="E103" s="73">
        <v>5</v>
      </c>
      <c r="F103" s="73">
        <v>6</v>
      </c>
      <c r="G103" s="73">
        <v>7</v>
      </c>
      <c r="H103" s="73">
        <v>8</v>
      </c>
      <c r="I103" s="73">
        <v>9</v>
      </c>
      <c r="J103" s="73">
        <v>10</v>
      </c>
      <c r="K103" s="73">
        <v>11</v>
      </c>
      <c r="L103" s="74">
        <v>12</v>
      </c>
    </row>
    <row r="104" spans="1:12" ht="12">
      <c r="A104" s="84"/>
      <c r="B104" s="85"/>
      <c r="C104" s="86"/>
      <c r="D104" s="105"/>
      <c r="E104" s="105"/>
      <c r="F104" s="105"/>
      <c r="G104" s="105"/>
      <c r="H104" s="105"/>
      <c r="I104" s="105"/>
      <c r="J104" s="105"/>
      <c r="K104" s="105"/>
      <c r="L104" s="871"/>
    </row>
    <row r="105" spans="1:12" ht="12">
      <c r="A105" s="84">
        <v>750</v>
      </c>
      <c r="B105" s="87"/>
      <c r="C105" s="88" t="s">
        <v>67</v>
      </c>
      <c r="D105" s="112">
        <f aca="true" t="shared" si="27" ref="D105:K105">SUM(D107:D110)</f>
        <v>11913494</v>
      </c>
      <c r="E105" s="112">
        <f t="shared" si="27"/>
        <v>7836879.53</v>
      </c>
      <c r="F105" s="112">
        <f t="shared" si="27"/>
        <v>7799817.62</v>
      </c>
      <c r="G105" s="112">
        <f t="shared" si="27"/>
        <v>0</v>
      </c>
      <c r="H105" s="112">
        <f t="shared" si="27"/>
        <v>5743185.409999999</v>
      </c>
      <c r="I105" s="112">
        <f t="shared" si="27"/>
        <v>0</v>
      </c>
      <c r="J105" s="112">
        <f t="shared" si="27"/>
        <v>0</v>
      </c>
      <c r="K105" s="112">
        <f t="shared" si="27"/>
        <v>37061.91</v>
      </c>
      <c r="L105" s="931">
        <f t="shared" si="22"/>
        <v>0.6578153755732785</v>
      </c>
    </row>
    <row r="106" spans="1:12" ht="12">
      <c r="A106" s="84"/>
      <c r="B106" s="85"/>
      <c r="C106" s="86"/>
      <c r="D106" s="105"/>
      <c r="E106" s="105"/>
      <c r="F106" s="270"/>
      <c r="G106" s="270"/>
      <c r="H106" s="270"/>
      <c r="I106" s="270"/>
      <c r="J106" s="270"/>
      <c r="K106" s="270"/>
      <c r="L106" s="871"/>
    </row>
    <row r="107" spans="1:12" ht="12">
      <c r="A107" s="84"/>
      <c r="B107" s="85">
        <v>75022</v>
      </c>
      <c r="C107" s="86" t="s">
        <v>296</v>
      </c>
      <c r="D107" s="105">
        <v>465880</v>
      </c>
      <c r="E107" s="105">
        <f>SUM(F107+K107)</f>
        <v>288176.78</v>
      </c>
      <c r="F107" s="105">
        <v>288176.78</v>
      </c>
      <c r="G107" s="105"/>
      <c r="H107" s="105">
        <f>4700</f>
        <v>4700</v>
      </c>
      <c r="I107" s="105"/>
      <c r="J107" s="105"/>
      <c r="K107" s="105"/>
      <c r="L107" s="871">
        <f t="shared" si="22"/>
        <v>0.6185643942646175</v>
      </c>
    </row>
    <row r="108" spans="1:12" ht="12">
      <c r="A108" s="84"/>
      <c r="B108" s="85">
        <v>75023</v>
      </c>
      <c r="C108" s="86" t="s">
        <v>106</v>
      </c>
      <c r="D108" s="105">
        <v>10673835</v>
      </c>
      <c r="E108" s="105">
        <f>SUM(F108+K108)</f>
        <v>7068133.46</v>
      </c>
      <c r="F108" s="105">
        <f>7068133.46-33561.91-525-2975</f>
        <v>7031071.55</v>
      </c>
      <c r="G108" s="270"/>
      <c r="H108" s="105">
        <f>4507657.22+411925.63+646350.02+119387.36+46051.55</f>
        <v>5731371.779999999</v>
      </c>
      <c r="I108" s="270"/>
      <c r="J108" s="270"/>
      <c r="K108" s="105">
        <f>2975+525+33561.91</f>
        <v>37061.91</v>
      </c>
      <c r="L108" s="871">
        <f t="shared" si="22"/>
        <v>0.6621924978229474</v>
      </c>
    </row>
    <row r="109" spans="1:12" ht="12">
      <c r="A109" s="84"/>
      <c r="B109" s="85">
        <v>75075</v>
      </c>
      <c r="C109" s="86" t="s">
        <v>107</v>
      </c>
      <c r="D109" s="105">
        <v>350000</v>
      </c>
      <c r="E109" s="105">
        <f>SUM(F109+K109)</f>
        <v>163845.07</v>
      </c>
      <c r="F109" s="105">
        <v>163845.07</v>
      </c>
      <c r="G109" s="105"/>
      <c r="H109" s="105">
        <f>1432</f>
        <v>1432</v>
      </c>
      <c r="I109" s="105"/>
      <c r="J109" s="105"/>
      <c r="K109" s="105">
        <v>0</v>
      </c>
      <c r="L109" s="871">
        <f t="shared" si="22"/>
        <v>0.46812877142857146</v>
      </c>
    </row>
    <row r="110" spans="1:12" ht="12.75" thickBot="1">
      <c r="A110" s="246"/>
      <c r="B110" s="229">
        <v>75095</v>
      </c>
      <c r="C110" s="228" t="s">
        <v>110</v>
      </c>
      <c r="D110" s="539">
        <v>423779</v>
      </c>
      <c r="E110" s="539">
        <f>SUM(F110+K110)</f>
        <v>316724.22</v>
      </c>
      <c r="F110" s="111">
        <v>316724.22</v>
      </c>
      <c r="G110" s="275"/>
      <c r="H110" s="111">
        <f>3540+41.01+6.62+2094</f>
        <v>5681.63</v>
      </c>
      <c r="I110" s="275"/>
      <c r="J110" s="275"/>
      <c r="K110" s="275"/>
      <c r="L110" s="1304">
        <f t="shared" si="22"/>
        <v>0.747380639437065</v>
      </c>
    </row>
    <row r="111" spans="1:12" ht="5.25" customHeight="1" thickTop="1">
      <c r="A111" s="84"/>
      <c r="B111" s="85"/>
      <c r="C111" s="86"/>
      <c r="D111" s="105"/>
      <c r="E111" s="105"/>
      <c r="F111" s="270"/>
      <c r="G111" s="270"/>
      <c r="H111" s="270"/>
      <c r="I111" s="270"/>
      <c r="J111" s="270"/>
      <c r="K111" s="270"/>
      <c r="L111" s="871"/>
    </row>
    <row r="112" spans="1:12" ht="12">
      <c r="A112" s="84">
        <v>754</v>
      </c>
      <c r="B112" s="85"/>
      <c r="C112" s="86" t="s">
        <v>111</v>
      </c>
      <c r="D112" s="105"/>
      <c r="E112" s="105"/>
      <c r="F112" s="270"/>
      <c r="G112" s="270"/>
      <c r="H112" s="270"/>
      <c r="I112" s="270"/>
      <c r="J112" s="270"/>
      <c r="K112" s="270"/>
      <c r="L112" s="871"/>
    </row>
    <row r="113" spans="1:12" ht="12">
      <c r="A113" s="84"/>
      <c r="B113" s="87"/>
      <c r="C113" s="88" t="s">
        <v>112</v>
      </c>
      <c r="D113" s="112">
        <f aca="true" t="shared" si="28" ref="D113:K113">SUM(D115:D119)</f>
        <v>3096466</v>
      </c>
      <c r="E113" s="112">
        <f>SUM(E115:E119)</f>
        <v>936319.66</v>
      </c>
      <c r="F113" s="112">
        <f t="shared" si="28"/>
        <v>844275.38</v>
      </c>
      <c r="G113" s="112">
        <f t="shared" si="28"/>
        <v>0</v>
      </c>
      <c r="H113" s="112">
        <f t="shared" si="28"/>
        <v>550471.91</v>
      </c>
      <c r="I113" s="112">
        <f t="shared" si="28"/>
        <v>0</v>
      </c>
      <c r="J113" s="112">
        <f t="shared" si="28"/>
        <v>0</v>
      </c>
      <c r="K113" s="112">
        <f t="shared" si="28"/>
        <v>92044.28</v>
      </c>
      <c r="L113" s="931">
        <f t="shared" si="22"/>
        <v>0.3023833169813588</v>
      </c>
    </row>
    <row r="114" spans="1:12" ht="12">
      <c r="A114" s="84"/>
      <c r="B114" s="85"/>
      <c r="C114" s="86"/>
      <c r="D114" s="105"/>
      <c r="E114" s="105"/>
      <c r="F114" s="270"/>
      <c r="G114" s="270"/>
      <c r="H114" s="270"/>
      <c r="I114" s="270"/>
      <c r="J114" s="270"/>
      <c r="K114" s="270"/>
      <c r="L114" s="871"/>
    </row>
    <row r="115" spans="1:12" ht="12">
      <c r="A115" s="84"/>
      <c r="B115" s="85">
        <v>75405</v>
      </c>
      <c r="C115" s="86" t="s">
        <v>297</v>
      </c>
      <c r="D115" s="105">
        <v>86280</v>
      </c>
      <c r="E115" s="105">
        <f>SUM(F115+K115)</f>
        <v>56000</v>
      </c>
      <c r="F115" s="105">
        <f>46000+1500</f>
        <v>47500</v>
      </c>
      <c r="G115" s="270"/>
      <c r="H115" s="270"/>
      <c r="I115" s="270"/>
      <c r="J115" s="270"/>
      <c r="K115" s="105">
        <v>8500</v>
      </c>
      <c r="L115" s="871">
        <f t="shared" si="22"/>
        <v>0.6490496059341678</v>
      </c>
    </row>
    <row r="116" spans="1:12" ht="12">
      <c r="A116" s="84"/>
      <c r="B116" s="85">
        <v>75412</v>
      </c>
      <c r="C116" s="86" t="s">
        <v>113</v>
      </c>
      <c r="D116" s="105">
        <v>1411700</v>
      </c>
      <c r="E116" s="105">
        <f>SUM(F116+K116)</f>
        <v>155156.11</v>
      </c>
      <c r="F116" s="105">
        <v>155156.11</v>
      </c>
      <c r="G116" s="105"/>
      <c r="H116" s="105">
        <f>31444.87+2749.8+6059.58+382.35+3540</f>
        <v>44176.6</v>
      </c>
      <c r="I116" s="105"/>
      <c r="J116" s="105"/>
      <c r="K116" s="105">
        <f>0</f>
        <v>0</v>
      </c>
      <c r="L116" s="871">
        <f t="shared" si="22"/>
        <v>0.10990728200042502</v>
      </c>
    </row>
    <row r="117" spans="1:12" ht="12">
      <c r="A117" s="84"/>
      <c r="B117" s="85">
        <v>75416</v>
      </c>
      <c r="C117" s="86" t="s">
        <v>114</v>
      </c>
      <c r="D117" s="105">
        <v>963866</v>
      </c>
      <c r="E117" s="105">
        <f>SUM(F117+K117)</f>
        <v>684688.53</v>
      </c>
      <c r="F117" s="105">
        <f>684688.53-83412.52</f>
        <v>601276.01</v>
      </c>
      <c r="G117" s="105"/>
      <c r="H117" s="105">
        <f>389332.53+36695.01+69199.7+11068.07</f>
        <v>506295.31000000006</v>
      </c>
      <c r="I117" s="105"/>
      <c r="J117" s="105"/>
      <c r="K117" s="105">
        <v>83412.52</v>
      </c>
      <c r="L117" s="871">
        <f t="shared" si="22"/>
        <v>0.710356553711823</v>
      </c>
    </row>
    <row r="118" spans="1:12" ht="12">
      <c r="A118" s="84"/>
      <c r="B118" s="85">
        <v>75421</v>
      </c>
      <c r="C118" s="86" t="s">
        <v>361</v>
      </c>
      <c r="D118" s="105">
        <v>160</v>
      </c>
      <c r="E118" s="105">
        <f>SUM(F118+K118)</f>
        <v>159.47</v>
      </c>
      <c r="F118" s="105">
        <v>159.47</v>
      </c>
      <c r="G118" s="270"/>
      <c r="H118" s="270"/>
      <c r="I118" s="270"/>
      <c r="J118" s="270"/>
      <c r="K118" s="270"/>
      <c r="L118" s="871">
        <f t="shared" si="22"/>
        <v>0.9966875</v>
      </c>
    </row>
    <row r="119" spans="1:12" ht="12.75" thickBot="1">
      <c r="A119" s="246"/>
      <c r="B119" s="229">
        <v>75495</v>
      </c>
      <c r="C119" s="228" t="s">
        <v>110</v>
      </c>
      <c r="D119" s="539">
        <v>634460</v>
      </c>
      <c r="E119" s="539">
        <f>SUM(F119+K119)</f>
        <v>40315.55</v>
      </c>
      <c r="F119" s="111">
        <f>40315.55-131.76</f>
        <v>40183.79</v>
      </c>
      <c r="G119" s="275"/>
      <c r="H119" s="275"/>
      <c r="I119" s="275"/>
      <c r="J119" s="275"/>
      <c r="K119" s="111">
        <v>131.76</v>
      </c>
      <c r="L119" s="1304">
        <f t="shared" si="22"/>
        <v>0.06354309176307411</v>
      </c>
    </row>
    <row r="120" spans="1:12" ht="12.75" thickTop="1">
      <c r="A120" s="84"/>
      <c r="B120" s="85"/>
      <c r="C120" s="86"/>
      <c r="D120" s="105"/>
      <c r="E120" s="105"/>
      <c r="F120" s="270"/>
      <c r="G120" s="270"/>
      <c r="H120" s="270"/>
      <c r="I120" s="270"/>
      <c r="J120" s="270"/>
      <c r="K120" s="270"/>
      <c r="L120" s="871"/>
    </row>
    <row r="121" spans="1:12" ht="12">
      <c r="A121" s="84">
        <v>756</v>
      </c>
      <c r="B121" s="108"/>
      <c r="C121" s="86" t="s">
        <v>274</v>
      </c>
      <c r="D121" s="105"/>
      <c r="E121" s="105"/>
      <c r="F121" s="270"/>
      <c r="G121" s="270"/>
      <c r="H121" s="270"/>
      <c r="I121" s="270"/>
      <c r="J121" s="270"/>
      <c r="K121" s="270"/>
      <c r="L121" s="871"/>
    </row>
    <row r="122" spans="1:12" ht="12">
      <c r="A122" s="114"/>
      <c r="B122" s="108"/>
      <c r="C122" s="86" t="s">
        <v>275</v>
      </c>
      <c r="D122" s="105"/>
      <c r="E122" s="105"/>
      <c r="F122" s="270"/>
      <c r="G122" s="270"/>
      <c r="H122" s="270"/>
      <c r="I122" s="270"/>
      <c r="J122" s="270"/>
      <c r="K122" s="270"/>
      <c r="L122" s="871"/>
    </row>
    <row r="123" spans="1:12" ht="12">
      <c r="A123" s="114"/>
      <c r="B123" s="108"/>
      <c r="C123" s="86" t="s">
        <v>119</v>
      </c>
      <c r="D123" s="105"/>
      <c r="E123" s="105"/>
      <c r="F123" s="270"/>
      <c r="G123" s="270"/>
      <c r="H123" s="270"/>
      <c r="I123" s="270"/>
      <c r="J123" s="270"/>
      <c r="K123" s="270"/>
      <c r="L123" s="871"/>
    </row>
    <row r="124" spans="1:12" ht="12">
      <c r="A124" s="114"/>
      <c r="B124" s="115"/>
      <c r="C124" s="88" t="s">
        <v>74</v>
      </c>
      <c r="D124" s="112">
        <f aca="true" t="shared" si="29" ref="D124:K124">SUM(D127)</f>
        <v>180000</v>
      </c>
      <c r="E124" s="112">
        <f>SUM(E127)</f>
        <v>92722.92</v>
      </c>
      <c r="F124" s="112">
        <f t="shared" si="29"/>
        <v>92722.92</v>
      </c>
      <c r="G124" s="112">
        <f t="shared" si="29"/>
        <v>0</v>
      </c>
      <c r="H124" s="112">
        <f t="shared" si="29"/>
        <v>19577.28</v>
      </c>
      <c r="I124" s="112">
        <f t="shared" si="29"/>
        <v>0</v>
      </c>
      <c r="J124" s="112">
        <f t="shared" si="29"/>
        <v>0</v>
      </c>
      <c r="K124" s="112">
        <f t="shared" si="29"/>
        <v>0</v>
      </c>
      <c r="L124" s="931">
        <f t="shared" si="22"/>
        <v>0.5151273333333333</v>
      </c>
    </row>
    <row r="125" spans="1:12" ht="12">
      <c r="A125" s="84"/>
      <c r="B125" s="85"/>
      <c r="C125" s="86"/>
      <c r="D125" s="105"/>
      <c r="E125" s="105"/>
      <c r="F125" s="270"/>
      <c r="G125" s="270"/>
      <c r="H125" s="270"/>
      <c r="I125" s="270"/>
      <c r="J125" s="270"/>
      <c r="K125" s="270"/>
      <c r="L125" s="871"/>
    </row>
    <row r="126" spans="1:12" ht="12">
      <c r="A126" s="84"/>
      <c r="B126" s="85">
        <v>75647</v>
      </c>
      <c r="C126" s="86" t="s">
        <v>298</v>
      </c>
      <c r="D126" s="105"/>
      <c r="E126" s="105"/>
      <c r="F126" s="270"/>
      <c r="G126" s="270"/>
      <c r="H126" s="270"/>
      <c r="I126" s="270"/>
      <c r="J126" s="270"/>
      <c r="K126" s="270"/>
      <c r="L126" s="871"/>
    </row>
    <row r="127" spans="1:12" ht="12.75" thickBot="1">
      <c r="A127" s="246"/>
      <c r="B127" s="229"/>
      <c r="C127" s="228" t="s">
        <v>299</v>
      </c>
      <c r="D127" s="111">
        <v>180000</v>
      </c>
      <c r="E127" s="111">
        <f>SUM(F127+K127)</f>
        <v>92722.92</v>
      </c>
      <c r="F127" s="111">
        <v>92722.92</v>
      </c>
      <c r="G127" s="275"/>
      <c r="H127" s="111">
        <f>18977.28+600</f>
        <v>19577.28</v>
      </c>
      <c r="I127" s="275"/>
      <c r="J127" s="275"/>
      <c r="K127" s="275"/>
      <c r="L127" s="1304">
        <f t="shared" si="22"/>
        <v>0.5151273333333333</v>
      </c>
    </row>
    <row r="128" spans="1:12" ht="12.75" thickTop="1">
      <c r="A128" s="84"/>
      <c r="B128" s="85"/>
      <c r="C128" s="86"/>
      <c r="D128" s="105"/>
      <c r="E128" s="105"/>
      <c r="F128" s="270"/>
      <c r="G128" s="270"/>
      <c r="H128" s="270"/>
      <c r="I128" s="270"/>
      <c r="J128" s="270"/>
      <c r="K128" s="270"/>
      <c r="L128" s="871"/>
    </row>
    <row r="129" spans="1:12" ht="12">
      <c r="A129" s="84">
        <v>757</v>
      </c>
      <c r="B129" s="87"/>
      <c r="C129" s="88" t="s">
        <v>276</v>
      </c>
      <c r="D129" s="112">
        <f aca="true" t="shared" si="30" ref="D129:K129">SUM(D132)</f>
        <v>925244</v>
      </c>
      <c r="E129" s="112">
        <f t="shared" si="30"/>
        <v>134412.44</v>
      </c>
      <c r="F129" s="112">
        <f t="shared" si="30"/>
        <v>134412.44</v>
      </c>
      <c r="G129" s="112">
        <f t="shared" si="30"/>
        <v>0</v>
      </c>
      <c r="H129" s="112">
        <f t="shared" si="30"/>
        <v>0</v>
      </c>
      <c r="I129" s="112">
        <f t="shared" si="30"/>
        <v>134412.44</v>
      </c>
      <c r="J129" s="112">
        <f t="shared" si="30"/>
        <v>0</v>
      </c>
      <c r="K129" s="112">
        <f t="shared" si="30"/>
        <v>0</v>
      </c>
      <c r="L129" s="931">
        <f t="shared" si="22"/>
        <v>0.14527242543588503</v>
      </c>
    </row>
    <row r="130" spans="1:12" ht="12">
      <c r="A130" s="84"/>
      <c r="B130" s="85"/>
      <c r="C130" s="86"/>
      <c r="D130" s="105"/>
      <c r="E130" s="105"/>
      <c r="F130" s="270"/>
      <c r="G130" s="270"/>
      <c r="H130" s="270"/>
      <c r="I130" s="270"/>
      <c r="J130" s="270"/>
      <c r="K130" s="270"/>
      <c r="L130" s="871"/>
    </row>
    <row r="131" spans="1:12" ht="12">
      <c r="A131" s="84"/>
      <c r="B131" s="85">
        <v>75702</v>
      </c>
      <c r="C131" s="86" t="s">
        <v>300</v>
      </c>
      <c r="D131" s="105"/>
      <c r="E131" s="105"/>
      <c r="F131" s="270"/>
      <c r="G131" s="270"/>
      <c r="H131" s="270"/>
      <c r="I131" s="270"/>
      <c r="J131" s="270"/>
      <c r="K131" s="270"/>
      <c r="L131" s="871"/>
    </row>
    <row r="132" spans="1:12" ht="12.75" thickBot="1">
      <c r="A132" s="246"/>
      <c r="B132" s="229"/>
      <c r="C132" s="228" t="s">
        <v>301</v>
      </c>
      <c r="D132" s="111">
        <v>925244</v>
      </c>
      <c r="E132" s="111">
        <f>SUM(F132+K132)</f>
        <v>134412.44</v>
      </c>
      <c r="F132" s="111">
        <v>134412.44</v>
      </c>
      <c r="G132" s="111"/>
      <c r="H132" s="111"/>
      <c r="I132" s="111">
        <v>134412.44</v>
      </c>
      <c r="J132" s="111"/>
      <c r="K132" s="111"/>
      <c r="L132" s="1304">
        <f t="shared" si="22"/>
        <v>0.14527242543588503</v>
      </c>
    </row>
    <row r="133" spans="1:12" ht="12.75" thickTop="1">
      <c r="A133" s="84"/>
      <c r="B133" s="85"/>
      <c r="C133" s="86"/>
      <c r="D133" s="105"/>
      <c r="E133" s="105"/>
      <c r="F133" s="270"/>
      <c r="G133" s="270"/>
      <c r="H133" s="270"/>
      <c r="I133" s="270"/>
      <c r="J133" s="270"/>
      <c r="K133" s="270"/>
      <c r="L133" s="871"/>
    </row>
    <row r="134" spans="1:12" ht="12">
      <c r="A134" s="84">
        <v>758</v>
      </c>
      <c r="B134" s="87"/>
      <c r="C134" s="88" t="s">
        <v>75</v>
      </c>
      <c r="D134" s="112">
        <f aca="true" t="shared" si="31" ref="D134:K134">SUM(D136:D137)</f>
        <v>762078</v>
      </c>
      <c r="E134" s="112">
        <f t="shared" si="31"/>
        <v>26325</v>
      </c>
      <c r="F134" s="112">
        <f t="shared" si="31"/>
        <v>26325</v>
      </c>
      <c r="G134" s="112">
        <f t="shared" si="31"/>
        <v>0</v>
      </c>
      <c r="H134" s="112">
        <f t="shared" si="31"/>
        <v>0</v>
      </c>
      <c r="I134" s="112">
        <f t="shared" si="31"/>
        <v>0</v>
      </c>
      <c r="J134" s="112">
        <f t="shared" si="31"/>
        <v>0</v>
      </c>
      <c r="K134" s="112">
        <f t="shared" si="31"/>
        <v>0</v>
      </c>
      <c r="L134" s="931">
        <f t="shared" si="22"/>
        <v>0.034543708124365226</v>
      </c>
    </row>
    <row r="135" spans="1:12" ht="12">
      <c r="A135" s="84"/>
      <c r="B135" s="85"/>
      <c r="C135" s="86"/>
      <c r="D135" s="105"/>
      <c r="E135" s="105"/>
      <c r="F135" s="270"/>
      <c r="G135" s="270"/>
      <c r="H135" s="270"/>
      <c r="I135" s="270"/>
      <c r="J135" s="270"/>
      <c r="K135" s="270"/>
      <c r="L135" s="871"/>
    </row>
    <row r="136" spans="1:12" ht="12">
      <c r="A136" s="84"/>
      <c r="B136" s="85">
        <v>75818</v>
      </c>
      <c r="C136" s="109" t="s">
        <v>302</v>
      </c>
      <c r="D136" s="110">
        <v>726981</v>
      </c>
      <c r="E136" s="105">
        <f>SUM(F136+K136)</f>
        <v>0</v>
      </c>
      <c r="F136" s="105">
        <v>0</v>
      </c>
      <c r="G136" s="105"/>
      <c r="H136" s="105"/>
      <c r="I136" s="105"/>
      <c r="J136" s="105"/>
      <c r="K136" s="105">
        <v>0</v>
      </c>
      <c r="L136" s="871">
        <f aca="true" t="shared" si="32" ref="L136:L196">SUM(E136/D136)</f>
        <v>0</v>
      </c>
    </row>
    <row r="137" spans="1:12" ht="12.75" thickBot="1">
      <c r="A137" s="246"/>
      <c r="B137" s="229">
        <v>75831</v>
      </c>
      <c r="C137" s="228" t="s">
        <v>175</v>
      </c>
      <c r="D137" s="539">
        <v>35097</v>
      </c>
      <c r="E137" s="111">
        <f>SUM(F137+K137)</f>
        <v>26325</v>
      </c>
      <c r="F137" s="111">
        <v>26325</v>
      </c>
      <c r="G137" s="275"/>
      <c r="H137" s="275"/>
      <c r="I137" s="275"/>
      <c r="J137" s="275"/>
      <c r="K137" s="275"/>
      <c r="L137" s="1304">
        <f t="shared" si="32"/>
        <v>0.7500641080434225</v>
      </c>
    </row>
    <row r="138" spans="1:12" ht="12.75" thickTop="1">
      <c r="A138" s="114"/>
      <c r="B138" s="86"/>
      <c r="C138" s="86"/>
      <c r="D138" s="105"/>
      <c r="E138" s="105"/>
      <c r="F138" s="270"/>
      <c r="G138" s="270"/>
      <c r="H138" s="270"/>
      <c r="I138" s="270"/>
      <c r="J138" s="270"/>
      <c r="K138" s="270"/>
      <c r="L138" s="871"/>
    </row>
    <row r="139" spans="1:12" ht="12">
      <c r="A139" s="84">
        <v>801</v>
      </c>
      <c r="B139" s="87"/>
      <c r="C139" s="88" t="s">
        <v>76</v>
      </c>
      <c r="D139" s="112">
        <f aca="true" t="shared" si="33" ref="D139:K139">SUM(D141:D149)</f>
        <v>35671191</v>
      </c>
      <c r="E139" s="112">
        <f>SUM(E141:E149)</f>
        <v>27965492.610000003</v>
      </c>
      <c r="F139" s="112">
        <f t="shared" si="33"/>
        <v>27202862.66</v>
      </c>
      <c r="G139" s="112">
        <f t="shared" si="33"/>
        <v>26735279.57</v>
      </c>
      <c r="H139" s="112">
        <f t="shared" si="33"/>
        <v>42176.34</v>
      </c>
      <c r="I139" s="112">
        <f t="shared" si="33"/>
        <v>0</v>
      </c>
      <c r="J139" s="112">
        <f t="shared" si="33"/>
        <v>0</v>
      </c>
      <c r="K139" s="112">
        <f t="shared" si="33"/>
        <v>762629.9500000001</v>
      </c>
      <c r="L139" s="931">
        <f t="shared" si="32"/>
        <v>0.7839797838541472</v>
      </c>
    </row>
    <row r="140" spans="1:12" ht="12">
      <c r="A140" s="84"/>
      <c r="B140" s="85"/>
      <c r="C140" s="86"/>
      <c r="D140" s="105"/>
      <c r="E140" s="105"/>
      <c r="F140" s="270"/>
      <c r="G140" s="270"/>
      <c r="H140" s="270"/>
      <c r="I140" s="270"/>
      <c r="J140" s="270"/>
      <c r="K140" s="270"/>
      <c r="L140" s="871"/>
    </row>
    <row r="141" spans="1:12" ht="11.25" customHeight="1">
      <c r="A141" s="84"/>
      <c r="B141" s="85">
        <v>80101</v>
      </c>
      <c r="C141" s="86" t="s">
        <v>176</v>
      </c>
      <c r="D141" s="105">
        <v>18475524</v>
      </c>
      <c r="E141" s="105">
        <f>SUM(F141+K141)</f>
        <v>14121444.940000001</v>
      </c>
      <c r="F141" s="105">
        <f>13648080.14+1672</f>
        <v>13649752.14</v>
      </c>
      <c r="G141" s="105">
        <f>13648080.14+1672</f>
        <v>13649752.14</v>
      </c>
      <c r="H141" s="105"/>
      <c r="I141" s="105"/>
      <c r="J141" s="105"/>
      <c r="K141" s="105">
        <f>287739.07+183953.73</f>
        <v>471692.80000000005</v>
      </c>
      <c r="L141" s="871">
        <f t="shared" si="32"/>
        <v>0.7643325807701044</v>
      </c>
    </row>
    <row r="142" spans="1:12" ht="12">
      <c r="A142" s="84"/>
      <c r="B142" s="85">
        <v>80103</v>
      </c>
      <c r="C142" s="86" t="s">
        <v>303</v>
      </c>
      <c r="D142" s="105">
        <v>412000</v>
      </c>
      <c r="E142" s="105">
        <f aca="true" t="shared" si="34" ref="E142:E149">SUM(F142+K142)</f>
        <v>318210</v>
      </c>
      <c r="F142" s="105">
        <v>318210</v>
      </c>
      <c r="G142" s="105">
        <v>318210</v>
      </c>
      <c r="H142" s="105"/>
      <c r="I142" s="105"/>
      <c r="J142" s="105"/>
      <c r="K142" s="105"/>
      <c r="L142" s="871">
        <f t="shared" si="32"/>
        <v>0.7723543689320388</v>
      </c>
    </row>
    <row r="143" spans="1:12" ht="12">
      <c r="A143" s="84"/>
      <c r="B143" s="85">
        <v>80104</v>
      </c>
      <c r="C143" s="86" t="s">
        <v>177</v>
      </c>
      <c r="D143" s="105">
        <v>7279381</v>
      </c>
      <c r="E143" s="105">
        <f t="shared" si="34"/>
        <v>5951683.83</v>
      </c>
      <c r="F143" s="105">
        <f>17307.36+5673439</f>
        <v>5690746.36</v>
      </c>
      <c r="G143" s="105">
        <v>5690746.36</v>
      </c>
      <c r="H143" s="105"/>
      <c r="I143" s="105"/>
      <c r="J143" s="105"/>
      <c r="K143" s="105">
        <v>260937.47</v>
      </c>
      <c r="L143" s="871">
        <f t="shared" si="32"/>
        <v>0.8176085068222148</v>
      </c>
    </row>
    <row r="144" spans="1:12" ht="12">
      <c r="A144" s="84"/>
      <c r="B144" s="85">
        <v>80105</v>
      </c>
      <c r="C144" s="86" t="s">
        <v>304</v>
      </c>
      <c r="D144" s="105">
        <v>50000</v>
      </c>
      <c r="E144" s="105">
        <f t="shared" si="34"/>
        <v>28314</v>
      </c>
      <c r="F144" s="105">
        <v>28314</v>
      </c>
      <c r="G144" s="105">
        <v>28314</v>
      </c>
      <c r="H144" s="105"/>
      <c r="I144" s="105"/>
      <c r="J144" s="105"/>
      <c r="K144" s="105"/>
      <c r="L144" s="871">
        <f t="shared" si="32"/>
        <v>0.56628</v>
      </c>
    </row>
    <row r="145" spans="1:12" ht="12">
      <c r="A145" s="84"/>
      <c r="B145" s="85">
        <v>80110</v>
      </c>
      <c r="C145" s="86" t="s">
        <v>179</v>
      </c>
      <c r="D145" s="105">
        <v>8405787</v>
      </c>
      <c r="E145" s="105">
        <f t="shared" si="34"/>
        <v>6863371.75</v>
      </c>
      <c r="F145" s="105">
        <f>6833372.07</f>
        <v>6833372.07</v>
      </c>
      <c r="G145" s="105">
        <v>6833372.07</v>
      </c>
      <c r="H145" s="105"/>
      <c r="I145" s="105"/>
      <c r="J145" s="105"/>
      <c r="K145" s="105">
        <v>29999.68</v>
      </c>
      <c r="L145" s="871">
        <f t="shared" si="32"/>
        <v>0.8165055514730506</v>
      </c>
    </row>
    <row r="146" spans="1:13" s="65" customFormat="1" ht="12">
      <c r="A146" s="84" t="s">
        <v>305</v>
      </c>
      <c r="B146" s="85">
        <v>80113</v>
      </c>
      <c r="C146" s="86" t="s">
        <v>306</v>
      </c>
      <c r="D146" s="105">
        <v>370000</v>
      </c>
      <c r="E146" s="105">
        <f t="shared" si="34"/>
        <v>191415.07</v>
      </c>
      <c r="F146" s="105">
        <v>191415.07</v>
      </c>
      <c r="G146" s="105"/>
      <c r="H146" s="105">
        <v>21076.75</v>
      </c>
      <c r="I146" s="270"/>
      <c r="J146" s="270"/>
      <c r="K146" s="270"/>
      <c r="L146" s="871">
        <f t="shared" si="32"/>
        <v>0.517338027027027</v>
      </c>
      <c r="M146" s="137"/>
    </row>
    <row r="147" spans="1:12" ht="12">
      <c r="A147" s="84"/>
      <c r="B147" s="85">
        <v>80146</v>
      </c>
      <c r="C147" s="86" t="s">
        <v>307</v>
      </c>
      <c r="D147" s="105">
        <v>160600</v>
      </c>
      <c r="E147" s="105">
        <f t="shared" si="34"/>
        <v>150600</v>
      </c>
      <c r="F147" s="105">
        <v>150600</v>
      </c>
      <c r="G147" s="105">
        <v>150600</v>
      </c>
      <c r="H147" s="270"/>
      <c r="I147" s="270"/>
      <c r="J147" s="270"/>
      <c r="K147" s="270"/>
      <c r="L147" s="871">
        <f t="shared" si="32"/>
        <v>0.937733499377335</v>
      </c>
    </row>
    <row r="148" spans="1:12" ht="12">
      <c r="A148" s="84"/>
      <c r="B148" s="85">
        <v>80148</v>
      </c>
      <c r="C148" s="86" t="s">
        <v>362</v>
      </c>
      <c r="D148" s="105">
        <v>68285</v>
      </c>
      <c r="E148" s="105">
        <f t="shared" si="34"/>
        <v>64285</v>
      </c>
      <c r="F148" s="105">
        <v>64285</v>
      </c>
      <c r="G148" s="105">
        <v>64285</v>
      </c>
      <c r="H148" s="270"/>
      <c r="I148" s="270"/>
      <c r="J148" s="270"/>
      <c r="K148" s="270"/>
      <c r="L148" s="871">
        <f t="shared" si="32"/>
        <v>0.9414219814014791</v>
      </c>
    </row>
    <row r="149" spans="1:12" ht="12.75" thickBot="1">
      <c r="A149" s="89"/>
      <c r="B149" s="230">
        <v>80195</v>
      </c>
      <c r="C149" s="90" t="s">
        <v>110</v>
      </c>
      <c r="D149" s="113">
        <v>449614</v>
      </c>
      <c r="E149" s="544">
        <f t="shared" si="34"/>
        <v>276168.02</v>
      </c>
      <c r="F149" s="113">
        <v>276168.02</v>
      </c>
      <c r="G149" s="271"/>
      <c r="H149" s="113">
        <f>238.37+38.22+20823</f>
        <v>21099.59</v>
      </c>
      <c r="I149" s="271"/>
      <c r="J149" s="271"/>
      <c r="K149" s="271"/>
      <c r="L149" s="931">
        <f t="shared" si="32"/>
        <v>0.6142335870324324</v>
      </c>
    </row>
    <row r="150" spans="1:13" s="118" customFormat="1" ht="12">
      <c r="A150" s="116">
        <v>1</v>
      </c>
      <c r="B150" s="117">
        <v>2</v>
      </c>
      <c r="C150" s="117">
        <v>3</v>
      </c>
      <c r="D150" s="117">
        <v>4</v>
      </c>
      <c r="E150" s="117">
        <v>5</v>
      </c>
      <c r="F150" s="117">
        <v>6</v>
      </c>
      <c r="G150" s="117">
        <v>7</v>
      </c>
      <c r="H150" s="117">
        <v>8</v>
      </c>
      <c r="I150" s="117">
        <v>9</v>
      </c>
      <c r="J150" s="117">
        <v>10</v>
      </c>
      <c r="K150" s="117">
        <v>11</v>
      </c>
      <c r="L150" s="284">
        <v>12</v>
      </c>
      <c r="M150" s="135"/>
    </row>
    <row r="151" spans="1:12" ht="12">
      <c r="A151" s="84"/>
      <c r="B151" s="85"/>
      <c r="C151" s="86"/>
      <c r="D151" s="105"/>
      <c r="E151" s="105"/>
      <c r="F151" s="105"/>
      <c r="G151" s="105"/>
      <c r="H151" s="105"/>
      <c r="I151" s="105"/>
      <c r="J151" s="105"/>
      <c r="K151" s="105"/>
      <c r="L151" s="871"/>
    </row>
    <row r="152" spans="1:12" ht="12">
      <c r="A152" s="84">
        <v>851</v>
      </c>
      <c r="B152" s="87"/>
      <c r="C152" s="88" t="s">
        <v>77</v>
      </c>
      <c r="D152" s="112">
        <f aca="true" t="shared" si="35" ref="D152:K152">SUM(D154:D157)</f>
        <v>817945</v>
      </c>
      <c r="E152" s="112">
        <f>SUM(E154:E157)</f>
        <v>454977.95</v>
      </c>
      <c r="F152" s="112">
        <f t="shared" si="35"/>
        <v>454977.95</v>
      </c>
      <c r="G152" s="112">
        <f t="shared" si="35"/>
        <v>83600</v>
      </c>
      <c r="H152" s="112">
        <f t="shared" si="35"/>
        <v>211350.83</v>
      </c>
      <c r="I152" s="112">
        <f t="shared" si="35"/>
        <v>0</v>
      </c>
      <c r="J152" s="112">
        <f t="shared" si="35"/>
        <v>0</v>
      </c>
      <c r="K152" s="112">
        <f t="shared" si="35"/>
        <v>0</v>
      </c>
      <c r="L152" s="931">
        <f t="shared" si="32"/>
        <v>0.5562451631833436</v>
      </c>
    </row>
    <row r="153" spans="1:12" ht="12">
      <c r="A153" s="84"/>
      <c r="B153" s="85"/>
      <c r="C153" s="86"/>
      <c r="D153" s="105"/>
      <c r="E153" s="105"/>
      <c r="F153" s="270"/>
      <c r="G153" s="270"/>
      <c r="H153" s="270"/>
      <c r="I153" s="270"/>
      <c r="J153" s="270"/>
      <c r="K153" s="270"/>
      <c r="L153" s="871"/>
    </row>
    <row r="154" spans="1:12" ht="12">
      <c r="A154" s="84"/>
      <c r="B154" s="85">
        <v>85149</v>
      </c>
      <c r="C154" s="86" t="s">
        <v>308</v>
      </c>
      <c r="D154" s="105">
        <v>129950</v>
      </c>
      <c r="E154" s="105">
        <f>SUM(F154+K154)</f>
        <v>3398</v>
      </c>
      <c r="F154" s="105">
        <v>3398</v>
      </c>
      <c r="G154" s="270"/>
      <c r="H154" s="270"/>
      <c r="I154" s="270"/>
      <c r="J154" s="270"/>
      <c r="K154" s="270"/>
      <c r="L154" s="871">
        <f t="shared" si="32"/>
        <v>0.02614851866102347</v>
      </c>
    </row>
    <row r="155" spans="1:12" ht="12">
      <c r="A155" s="84"/>
      <c r="B155" s="85">
        <v>85153</v>
      </c>
      <c r="C155" s="86" t="s">
        <v>309</v>
      </c>
      <c r="D155" s="105">
        <v>24600</v>
      </c>
      <c r="E155" s="105">
        <f>SUM(F155+K155)</f>
        <v>12385.13</v>
      </c>
      <c r="F155" s="105">
        <v>12385.13</v>
      </c>
      <c r="G155" s="105"/>
      <c r="H155" s="105">
        <v>2900</v>
      </c>
      <c r="I155" s="270"/>
      <c r="J155" s="276"/>
      <c r="K155" s="278"/>
      <c r="L155" s="871">
        <f t="shared" si="32"/>
        <v>0.503460569105691</v>
      </c>
    </row>
    <row r="156" spans="1:12" ht="12">
      <c r="A156" s="84"/>
      <c r="B156" s="85">
        <v>85154</v>
      </c>
      <c r="C156" s="109" t="s">
        <v>310</v>
      </c>
      <c r="D156" s="105">
        <v>617245</v>
      </c>
      <c r="E156" s="105">
        <f>SUM(F156+K156)</f>
        <v>393094.82</v>
      </c>
      <c r="F156" s="110">
        <v>393094.82</v>
      </c>
      <c r="G156" s="110">
        <f>12500+25000</f>
        <v>37500</v>
      </c>
      <c r="H156" s="110">
        <f>10211.16+1546.84+196692.83</f>
        <v>208450.83</v>
      </c>
      <c r="I156" s="276"/>
      <c r="J156" s="276"/>
      <c r="K156" s="278"/>
      <c r="L156" s="871">
        <f t="shared" si="32"/>
        <v>0.6368537938743934</v>
      </c>
    </row>
    <row r="157" spans="1:12" ht="12.75" thickBot="1">
      <c r="A157" s="246"/>
      <c r="B157" s="229">
        <v>85195</v>
      </c>
      <c r="C157" s="228" t="s">
        <v>110</v>
      </c>
      <c r="D157" s="539">
        <v>46150</v>
      </c>
      <c r="E157" s="539">
        <f>SUM(F157+K157)</f>
        <v>46100</v>
      </c>
      <c r="F157" s="111">
        <v>46100</v>
      </c>
      <c r="G157" s="111">
        <v>46100</v>
      </c>
      <c r="H157" s="275"/>
      <c r="I157" s="275"/>
      <c r="J157" s="275"/>
      <c r="K157" s="275"/>
      <c r="L157" s="1304">
        <f t="shared" si="32"/>
        <v>0.9989165763813651</v>
      </c>
    </row>
    <row r="158" spans="1:12" ht="12.75" thickTop="1">
      <c r="A158" s="84"/>
      <c r="B158" s="85"/>
      <c r="C158" s="86"/>
      <c r="D158" s="105"/>
      <c r="E158" s="105"/>
      <c r="F158" s="270"/>
      <c r="G158" s="270"/>
      <c r="H158" s="270"/>
      <c r="I158" s="270"/>
      <c r="J158" s="270"/>
      <c r="K158" s="270"/>
      <c r="L158" s="871"/>
    </row>
    <row r="159" spans="1:12" ht="12">
      <c r="A159" s="84">
        <v>852</v>
      </c>
      <c r="B159" s="87"/>
      <c r="C159" s="88" t="s">
        <v>78</v>
      </c>
      <c r="D159" s="112">
        <f>SUM(D160:D170)</f>
        <v>7274185</v>
      </c>
      <c r="E159" s="112">
        <f>SUM(E160:E170)</f>
        <v>4876303.3100000005</v>
      </c>
      <c r="F159" s="112">
        <f aca="true" t="shared" si="36" ref="F159:K159">SUM(F164:F170)</f>
        <v>4869715.3100000005</v>
      </c>
      <c r="G159" s="112">
        <f t="shared" si="36"/>
        <v>120200</v>
      </c>
      <c r="H159" s="112">
        <f t="shared" si="36"/>
        <v>1828321.3900000001</v>
      </c>
      <c r="I159" s="112">
        <f t="shared" si="36"/>
        <v>0</v>
      </c>
      <c r="J159" s="112">
        <f t="shared" si="36"/>
        <v>0</v>
      </c>
      <c r="K159" s="112">
        <f t="shared" si="36"/>
        <v>6588</v>
      </c>
      <c r="L159" s="931">
        <f t="shared" si="32"/>
        <v>0.6703573403755886</v>
      </c>
    </row>
    <row r="160" spans="1:12" ht="12">
      <c r="A160" s="84"/>
      <c r="B160" s="85"/>
      <c r="C160" s="86"/>
      <c r="D160" s="105"/>
      <c r="E160" s="105"/>
      <c r="F160" s="105"/>
      <c r="G160" s="105"/>
      <c r="H160" s="105"/>
      <c r="I160" s="105"/>
      <c r="J160" s="105"/>
      <c r="K160" s="105"/>
      <c r="L160" s="871"/>
    </row>
    <row r="161" spans="1:12" ht="12">
      <c r="A161" s="84"/>
      <c r="B161" s="85">
        <v>85212</v>
      </c>
      <c r="C161" s="86" t="s">
        <v>332</v>
      </c>
      <c r="D161" s="105"/>
      <c r="E161" s="105"/>
      <c r="F161" s="105"/>
      <c r="G161" s="105"/>
      <c r="H161" s="105"/>
      <c r="I161" s="105"/>
      <c r="J161" s="105"/>
      <c r="K161" s="105"/>
      <c r="L161" s="871"/>
    </row>
    <row r="162" spans="1:12" ht="12">
      <c r="A162" s="84"/>
      <c r="B162" s="85"/>
      <c r="C162" s="86" t="s">
        <v>333</v>
      </c>
      <c r="D162" s="105"/>
      <c r="E162" s="105"/>
      <c r="F162" s="105"/>
      <c r="G162" s="105"/>
      <c r="H162" s="105"/>
      <c r="I162" s="105"/>
      <c r="J162" s="105"/>
      <c r="K162" s="105"/>
      <c r="L162" s="871"/>
    </row>
    <row r="163" spans="1:12" ht="12">
      <c r="A163" s="84"/>
      <c r="B163" s="85"/>
      <c r="C163" s="86" t="s">
        <v>334</v>
      </c>
      <c r="D163" s="105">
        <v>85000</v>
      </c>
      <c r="E163" s="105">
        <f aca="true" t="shared" si="37" ref="E163:E170">SUM(F163+K163)</f>
        <v>0</v>
      </c>
      <c r="F163" s="105">
        <v>0</v>
      </c>
      <c r="G163" s="105"/>
      <c r="H163" s="105"/>
      <c r="I163" s="105"/>
      <c r="J163" s="105"/>
      <c r="K163" s="105"/>
      <c r="L163" s="871">
        <f t="shared" si="32"/>
        <v>0</v>
      </c>
    </row>
    <row r="164" spans="1:12" ht="12">
      <c r="A164" s="84"/>
      <c r="B164" s="85">
        <v>85214</v>
      </c>
      <c r="C164" s="86" t="s">
        <v>311</v>
      </c>
      <c r="D164" s="105"/>
      <c r="E164" s="105"/>
      <c r="F164" s="105"/>
      <c r="G164" s="105"/>
      <c r="H164" s="105"/>
      <c r="I164" s="270"/>
      <c r="J164" s="270"/>
      <c r="K164" s="270"/>
      <c r="L164" s="871"/>
    </row>
    <row r="165" spans="1:12" ht="12">
      <c r="A165" s="84"/>
      <c r="B165" s="85"/>
      <c r="C165" s="86" t="s">
        <v>312</v>
      </c>
      <c r="D165" s="105">
        <v>1799475</v>
      </c>
      <c r="E165" s="105">
        <f t="shared" si="37"/>
        <v>1119682.06</v>
      </c>
      <c r="F165" s="105">
        <v>1119682.06</v>
      </c>
      <c r="G165" s="105"/>
      <c r="H165" s="546">
        <v>0</v>
      </c>
      <c r="I165" s="270"/>
      <c r="J165" s="270"/>
      <c r="K165" s="270"/>
      <c r="L165" s="871">
        <f t="shared" si="32"/>
        <v>0.6222270717848262</v>
      </c>
    </row>
    <row r="166" spans="1:12" ht="12">
      <c r="A166" s="84"/>
      <c r="B166" s="85">
        <v>85215</v>
      </c>
      <c r="C166" s="86" t="s">
        <v>313</v>
      </c>
      <c r="D166" s="105">
        <v>1300000</v>
      </c>
      <c r="E166" s="105">
        <f t="shared" si="37"/>
        <v>807014.66</v>
      </c>
      <c r="F166" s="105">
        <v>807014.66</v>
      </c>
      <c r="G166" s="270"/>
      <c r="H166" s="270"/>
      <c r="I166" s="270"/>
      <c r="J166" s="270"/>
      <c r="K166" s="270"/>
      <c r="L166" s="871">
        <f t="shared" si="32"/>
        <v>0.6207805076923077</v>
      </c>
    </row>
    <row r="167" spans="1:12" ht="12">
      <c r="A167" s="84"/>
      <c r="B167" s="85">
        <v>85219</v>
      </c>
      <c r="C167" s="86" t="s">
        <v>187</v>
      </c>
      <c r="D167" s="105">
        <v>2163935</v>
      </c>
      <c r="E167" s="105">
        <f t="shared" si="37"/>
        <v>1531891.01</v>
      </c>
      <c r="F167" s="105">
        <f>1531891.01-6588</f>
        <v>1525303.01</v>
      </c>
      <c r="G167" s="270"/>
      <c r="H167" s="105">
        <f>996839.05+83536.88+160718.1+24852.01+5000</f>
        <v>1270946.0400000003</v>
      </c>
      <c r="I167" s="270"/>
      <c r="J167" s="270"/>
      <c r="K167" s="105">
        <v>6588</v>
      </c>
      <c r="L167" s="871">
        <f t="shared" si="32"/>
        <v>0.7079191426729546</v>
      </c>
    </row>
    <row r="168" spans="1:12" ht="12">
      <c r="A168" s="84"/>
      <c r="B168" s="85">
        <v>85228</v>
      </c>
      <c r="C168" s="86" t="s">
        <v>314</v>
      </c>
      <c r="D168" s="105"/>
      <c r="E168" s="105"/>
      <c r="F168" s="270"/>
      <c r="G168" s="270"/>
      <c r="H168" s="270"/>
      <c r="I168" s="270"/>
      <c r="J168" s="270"/>
      <c r="K168" s="270"/>
      <c r="L168" s="871"/>
    </row>
    <row r="169" spans="1:12" ht="12">
      <c r="A169" s="84"/>
      <c r="B169" s="85"/>
      <c r="C169" s="86" t="s">
        <v>315</v>
      </c>
      <c r="D169" s="105">
        <v>896625</v>
      </c>
      <c r="E169" s="105">
        <f t="shared" si="37"/>
        <v>631834.02</v>
      </c>
      <c r="F169" s="105">
        <v>631834.02</v>
      </c>
      <c r="G169" s="105"/>
      <c r="H169" s="546">
        <f>441294.36+41409.36+63414.18+11257.45</f>
        <v>557375.35</v>
      </c>
      <c r="I169" s="270"/>
      <c r="J169" s="270"/>
      <c r="K169" s="270"/>
      <c r="L169" s="871">
        <f t="shared" si="32"/>
        <v>0.7046803513174404</v>
      </c>
    </row>
    <row r="170" spans="1:12" ht="12.75" thickBot="1">
      <c r="A170" s="246"/>
      <c r="B170" s="229">
        <v>85295</v>
      </c>
      <c r="C170" s="228" t="s">
        <v>110</v>
      </c>
      <c r="D170" s="539">
        <v>1029150</v>
      </c>
      <c r="E170" s="539">
        <f t="shared" si="37"/>
        <v>785881.56</v>
      </c>
      <c r="F170" s="111">
        <f>788481.56-2600</f>
        <v>785881.56</v>
      </c>
      <c r="G170" s="111">
        <f>65200+55000</f>
        <v>120200</v>
      </c>
      <c r="H170" s="275"/>
      <c r="I170" s="275"/>
      <c r="J170" s="275"/>
      <c r="K170" s="275"/>
      <c r="L170" s="1304">
        <f t="shared" si="32"/>
        <v>0.7636219793033087</v>
      </c>
    </row>
    <row r="171" spans="1:12" ht="12.75" thickTop="1">
      <c r="A171" s="84"/>
      <c r="B171" s="85"/>
      <c r="C171" s="86"/>
      <c r="D171" s="105"/>
      <c r="E171" s="105"/>
      <c r="F171" s="270"/>
      <c r="G171" s="270"/>
      <c r="H171" s="270"/>
      <c r="I171" s="270"/>
      <c r="J171" s="270"/>
      <c r="K171" s="270"/>
      <c r="L171" s="871"/>
    </row>
    <row r="172" spans="1:13" s="119" customFormat="1" ht="12">
      <c r="A172" s="84"/>
      <c r="B172" s="85"/>
      <c r="C172" s="86" t="s">
        <v>278</v>
      </c>
      <c r="D172" s="105"/>
      <c r="E172" s="105"/>
      <c r="F172" s="270"/>
      <c r="G172" s="270"/>
      <c r="H172" s="270"/>
      <c r="I172" s="270"/>
      <c r="J172" s="270"/>
      <c r="K172" s="270"/>
      <c r="L172" s="871"/>
      <c r="M172" s="121"/>
    </row>
    <row r="173" spans="1:13" s="119" customFormat="1" ht="12">
      <c r="A173" s="84">
        <v>853</v>
      </c>
      <c r="B173" s="87"/>
      <c r="C173" s="88" t="s">
        <v>279</v>
      </c>
      <c r="D173" s="112">
        <f>SUM(D175:D176)</f>
        <v>1319519</v>
      </c>
      <c r="E173" s="112">
        <f>SUM(E175:E176)</f>
        <v>735514.66</v>
      </c>
      <c r="F173" s="112">
        <f aca="true" t="shared" si="38" ref="F173:K173">SUM(F175:F176)</f>
        <v>735514.66</v>
      </c>
      <c r="G173" s="112">
        <f t="shared" si="38"/>
        <v>627740</v>
      </c>
      <c r="H173" s="112">
        <f t="shared" si="38"/>
        <v>7044.110000000001</v>
      </c>
      <c r="I173" s="112">
        <f t="shared" si="38"/>
        <v>0</v>
      </c>
      <c r="J173" s="112">
        <f t="shared" si="38"/>
        <v>0</v>
      </c>
      <c r="K173" s="112">
        <f t="shared" si="38"/>
        <v>0</v>
      </c>
      <c r="L173" s="931">
        <f t="shared" si="32"/>
        <v>0.5574111930180619</v>
      </c>
      <c r="M173" s="121"/>
    </row>
    <row r="174" spans="1:12" ht="12">
      <c r="A174" s="84"/>
      <c r="B174" s="85"/>
      <c r="C174" s="86"/>
      <c r="D174" s="105"/>
      <c r="E174" s="105"/>
      <c r="F174" s="270"/>
      <c r="G174" s="270"/>
      <c r="H174" s="270"/>
      <c r="I174" s="270"/>
      <c r="J174" s="270"/>
      <c r="K174" s="270"/>
      <c r="L174" s="871"/>
    </row>
    <row r="175" spans="1:12" ht="12">
      <c r="A175" s="84"/>
      <c r="B175" s="85">
        <v>85305</v>
      </c>
      <c r="C175" s="86" t="s">
        <v>316</v>
      </c>
      <c r="D175" s="110">
        <v>801740</v>
      </c>
      <c r="E175" s="105">
        <f>SUM(F175+K175)</f>
        <v>615740</v>
      </c>
      <c r="F175" s="105">
        <v>615740</v>
      </c>
      <c r="G175" s="105">
        <v>615740</v>
      </c>
      <c r="H175" s="270"/>
      <c r="I175" s="270"/>
      <c r="J175" s="270"/>
      <c r="K175" s="270"/>
      <c r="L175" s="871">
        <f t="shared" si="32"/>
        <v>0.7680045900167136</v>
      </c>
    </row>
    <row r="176" spans="1:12" ht="12.75" thickBot="1">
      <c r="A176" s="246"/>
      <c r="B176" s="229">
        <v>85395</v>
      </c>
      <c r="C176" s="228" t="s">
        <v>110</v>
      </c>
      <c r="D176" s="539">
        <v>517779</v>
      </c>
      <c r="E176" s="539">
        <f>SUM(F176+K176)</f>
        <v>119774.66</v>
      </c>
      <c r="F176" s="111">
        <f>188174.66-68400</f>
        <v>119774.66</v>
      </c>
      <c r="G176" s="111">
        <f>80400-68400</f>
        <v>12000</v>
      </c>
      <c r="H176" s="111">
        <f>37.98+6.13+3000+3400+600</f>
        <v>7044.110000000001</v>
      </c>
      <c r="I176" s="275"/>
      <c r="J176" s="275"/>
      <c r="K176" s="275"/>
      <c r="L176" s="1304">
        <f t="shared" si="32"/>
        <v>0.2313239046002252</v>
      </c>
    </row>
    <row r="177" spans="1:12" ht="12.75" thickTop="1">
      <c r="A177" s="84"/>
      <c r="B177" s="85"/>
      <c r="C177" s="86"/>
      <c r="D177" s="105"/>
      <c r="E177" s="105"/>
      <c r="F177" s="270"/>
      <c r="G177" s="270"/>
      <c r="H177" s="270"/>
      <c r="I177" s="270"/>
      <c r="J177" s="270"/>
      <c r="K177" s="270"/>
      <c r="L177" s="871"/>
    </row>
    <row r="178" spans="1:12" ht="12">
      <c r="A178" s="84">
        <v>854</v>
      </c>
      <c r="B178" s="87"/>
      <c r="C178" s="88" t="s">
        <v>280</v>
      </c>
      <c r="D178" s="112">
        <f aca="true" t="shared" si="39" ref="D178:K178">SUM(D180:D184)</f>
        <v>545291</v>
      </c>
      <c r="E178" s="112">
        <f>SUM(E180:E184)</f>
        <v>345657.95</v>
      </c>
      <c r="F178" s="112">
        <f t="shared" si="39"/>
        <v>345657.95</v>
      </c>
      <c r="G178" s="112">
        <f t="shared" si="39"/>
        <v>305000</v>
      </c>
      <c r="H178" s="112">
        <f t="shared" si="39"/>
        <v>0</v>
      </c>
      <c r="I178" s="112">
        <f t="shared" si="39"/>
        <v>0</v>
      </c>
      <c r="J178" s="112">
        <f t="shared" si="39"/>
        <v>0</v>
      </c>
      <c r="K178" s="112">
        <f t="shared" si="39"/>
        <v>0</v>
      </c>
      <c r="L178" s="931">
        <f t="shared" si="32"/>
        <v>0.6338963049087551</v>
      </c>
    </row>
    <row r="179" spans="1:12" ht="12">
      <c r="A179" s="84"/>
      <c r="B179" s="231"/>
      <c r="C179" s="120"/>
      <c r="D179" s="288"/>
      <c r="E179" s="121"/>
      <c r="F179" s="277"/>
      <c r="G179" s="270"/>
      <c r="H179" s="270"/>
      <c r="I179" s="270"/>
      <c r="J179" s="270"/>
      <c r="K179" s="270"/>
      <c r="L179" s="871"/>
    </row>
    <row r="180" spans="1:12" ht="12">
      <c r="A180" s="84"/>
      <c r="B180" s="85">
        <v>85412</v>
      </c>
      <c r="C180" s="86" t="s">
        <v>317</v>
      </c>
      <c r="D180" s="276"/>
      <c r="E180" s="110"/>
      <c r="F180" s="276"/>
      <c r="G180" s="278"/>
      <c r="H180" s="270"/>
      <c r="I180" s="270"/>
      <c r="J180" s="270"/>
      <c r="K180" s="270"/>
      <c r="L180" s="871"/>
    </row>
    <row r="181" spans="1:12" ht="12">
      <c r="A181" s="84"/>
      <c r="B181" s="85"/>
      <c r="C181" s="86" t="s">
        <v>318</v>
      </c>
      <c r="D181" s="110">
        <v>60000</v>
      </c>
      <c r="E181" s="110">
        <f>SUM(F181+K181)</f>
        <v>60000</v>
      </c>
      <c r="F181" s="110">
        <v>60000</v>
      </c>
      <c r="G181" s="121">
        <v>60000</v>
      </c>
      <c r="H181" s="270"/>
      <c r="I181" s="270"/>
      <c r="J181" s="270"/>
      <c r="K181" s="270"/>
      <c r="L181" s="871">
        <f t="shared" si="32"/>
        <v>1</v>
      </c>
    </row>
    <row r="182" spans="1:12" ht="11.25" customHeight="1">
      <c r="A182" s="84"/>
      <c r="B182" s="85">
        <v>85415</v>
      </c>
      <c r="C182" s="86" t="s">
        <v>319</v>
      </c>
      <c r="D182" s="110">
        <v>365291</v>
      </c>
      <c r="E182" s="110">
        <f>SUM(F182+K182)</f>
        <v>200000</v>
      </c>
      <c r="F182" s="110">
        <v>200000</v>
      </c>
      <c r="G182" s="121">
        <v>200000</v>
      </c>
      <c r="H182" s="270"/>
      <c r="I182" s="270"/>
      <c r="J182" s="270"/>
      <c r="K182" s="270"/>
      <c r="L182" s="871">
        <f t="shared" si="32"/>
        <v>0.5475086985444482</v>
      </c>
    </row>
    <row r="183" spans="1:12" ht="12">
      <c r="A183" s="84"/>
      <c r="B183" s="85">
        <v>85416</v>
      </c>
      <c r="C183" s="86" t="s">
        <v>320</v>
      </c>
      <c r="D183" s="110">
        <v>60000</v>
      </c>
      <c r="E183" s="110">
        <f>SUM(F183+K183)</f>
        <v>40657.95</v>
      </c>
      <c r="F183" s="110">
        <v>40657.95</v>
      </c>
      <c r="G183" s="278"/>
      <c r="H183" s="270"/>
      <c r="I183" s="270"/>
      <c r="J183" s="270"/>
      <c r="K183" s="270"/>
      <c r="L183" s="871">
        <f t="shared" si="32"/>
        <v>0.6776325</v>
      </c>
    </row>
    <row r="184" spans="1:12" ht="12.75" thickBot="1">
      <c r="A184" s="246"/>
      <c r="B184" s="229">
        <v>85495</v>
      </c>
      <c r="C184" s="228" t="s">
        <v>110</v>
      </c>
      <c r="D184" s="539">
        <v>60000</v>
      </c>
      <c r="E184" s="539">
        <f>SUM(F184+K184)</f>
        <v>45000</v>
      </c>
      <c r="F184" s="539">
        <v>45000</v>
      </c>
      <c r="G184" s="547">
        <v>45000</v>
      </c>
      <c r="H184" s="275"/>
      <c r="I184" s="275"/>
      <c r="J184" s="275"/>
      <c r="K184" s="275"/>
      <c r="L184" s="1304">
        <f t="shared" si="32"/>
        <v>0.75</v>
      </c>
    </row>
    <row r="185" spans="1:12" ht="12" customHeight="1" thickTop="1">
      <c r="A185" s="84"/>
      <c r="B185" s="85"/>
      <c r="C185" s="86"/>
      <c r="D185" s="105"/>
      <c r="E185" s="105"/>
      <c r="F185" s="270"/>
      <c r="G185" s="270"/>
      <c r="H185" s="270"/>
      <c r="I185" s="270"/>
      <c r="J185" s="270"/>
      <c r="K185" s="270"/>
      <c r="L185" s="871"/>
    </row>
    <row r="186" spans="1:12" ht="12">
      <c r="A186" s="84">
        <v>900</v>
      </c>
      <c r="B186" s="85"/>
      <c r="C186" s="86" t="s">
        <v>321</v>
      </c>
      <c r="D186" s="105"/>
      <c r="E186" s="105"/>
      <c r="F186" s="270"/>
      <c r="G186" s="270"/>
      <c r="H186" s="270"/>
      <c r="I186" s="270"/>
      <c r="J186" s="270"/>
      <c r="K186" s="270"/>
      <c r="L186" s="871"/>
    </row>
    <row r="187" spans="1:12" ht="12">
      <c r="A187" s="84"/>
      <c r="B187" s="87"/>
      <c r="C187" s="88" t="s">
        <v>322</v>
      </c>
      <c r="D187" s="112">
        <f aca="true" t="shared" si="40" ref="D187:K187">SUM(D189:D196)</f>
        <v>17332446</v>
      </c>
      <c r="E187" s="112">
        <f>SUM(E189:E196)</f>
        <v>10037188</v>
      </c>
      <c r="F187" s="112">
        <f t="shared" si="40"/>
        <v>3356697.55</v>
      </c>
      <c r="G187" s="112">
        <f t="shared" si="40"/>
        <v>126000</v>
      </c>
      <c r="H187" s="112">
        <f t="shared" si="40"/>
        <v>152607.74</v>
      </c>
      <c r="I187" s="112">
        <f t="shared" si="40"/>
        <v>0</v>
      </c>
      <c r="J187" s="112">
        <f t="shared" si="40"/>
        <v>0</v>
      </c>
      <c r="K187" s="112">
        <f t="shared" si="40"/>
        <v>6680490.449999999</v>
      </c>
      <c r="L187" s="931">
        <f t="shared" si="32"/>
        <v>0.5790981838339494</v>
      </c>
    </row>
    <row r="188" spans="1:12" ht="12">
      <c r="A188" s="84"/>
      <c r="B188" s="85"/>
      <c r="C188" s="86"/>
      <c r="D188" s="105"/>
      <c r="E188" s="105"/>
      <c r="F188" s="105"/>
      <c r="G188" s="105"/>
      <c r="H188" s="105"/>
      <c r="I188" s="105"/>
      <c r="J188" s="105"/>
      <c r="K188" s="105"/>
      <c r="L188" s="871"/>
    </row>
    <row r="189" spans="1:12" ht="12">
      <c r="A189" s="84"/>
      <c r="B189" s="85">
        <v>90001</v>
      </c>
      <c r="C189" s="86" t="s">
        <v>192</v>
      </c>
      <c r="D189" s="105">
        <v>7020663</v>
      </c>
      <c r="E189" s="105">
        <f>SUM(F189+K189)</f>
        <v>4260519.09</v>
      </c>
      <c r="F189" s="105">
        <f>4260519.09-3916710.25</f>
        <v>343808.83999999985</v>
      </c>
      <c r="G189" s="105"/>
      <c r="H189" s="105"/>
      <c r="I189" s="105"/>
      <c r="J189" s="105"/>
      <c r="K189" s="105">
        <v>3916710.25</v>
      </c>
      <c r="L189" s="871">
        <f t="shared" si="32"/>
        <v>0.6068542372707535</v>
      </c>
    </row>
    <row r="190" spans="1:12" ht="12">
      <c r="A190" s="84"/>
      <c r="B190" s="85">
        <v>90002</v>
      </c>
      <c r="C190" s="86" t="s">
        <v>193</v>
      </c>
      <c r="D190" s="105">
        <v>1016357</v>
      </c>
      <c r="E190" s="105">
        <f aca="true" t="shared" si="41" ref="E190:E196">SUM(F190+K190)</f>
        <v>16356.78</v>
      </c>
      <c r="F190" s="105">
        <v>16356.78</v>
      </c>
      <c r="G190" s="105"/>
      <c r="H190" s="105"/>
      <c r="I190" s="105"/>
      <c r="J190" s="105"/>
      <c r="K190" s="105">
        <v>0</v>
      </c>
      <c r="L190" s="871">
        <f t="shared" si="32"/>
        <v>0.016093537998951156</v>
      </c>
    </row>
    <row r="191" spans="1:12" ht="11.25" customHeight="1">
      <c r="A191" s="84"/>
      <c r="B191" s="85">
        <v>90003</v>
      </c>
      <c r="C191" s="86" t="s">
        <v>323</v>
      </c>
      <c r="D191" s="105">
        <v>1521330</v>
      </c>
      <c r="E191" s="105">
        <f t="shared" si="41"/>
        <v>1023819.52</v>
      </c>
      <c r="F191" s="105">
        <v>1023819.52</v>
      </c>
      <c r="G191" s="105"/>
      <c r="H191" s="105">
        <f>23374.89+3225.68+915.26+5851</f>
        <v>33366.83</v>
      </c>
      <c r="I191" s="105"/>
      <c r="J191" s="105"/>
      <c r="K191" s="270"/>
      <c r="L191" s="871">
        <f t="shared" si="32"/>
        <v>0.6729766191424609</v>
      </c>
    </row>
    <row r="192" spans="1:12" ht="12">
      <c r="A192" s="84"/>
      <c r="B192" s="85">
        <v>90004</v>
      </c>
      <c r="C192" s="86" t="s">
        <v>195</v>
      </c>
      <c r="D192" s="105">
        <v>857500</v>
      </c>
      <c r="E192" s="105">
        <f t="shared" si="41"/>
        <v>204776.95</v>
      </c>
      <c r="F192" s="105">
        <v>204776.95</v>
      </c>
      <c r="G192" s="270"/>
      <c r="H192" s="270"/>
      <c r="I192" s="270"/>
      <c r="J192" s="270"/>
      <c r="K192" s="270"/>
      <c r="L192" s="871">
        <f t="shared" si="32"/>
        <v>0.2388069387755102</v>
      </c>
    </row>
    <row r="193" spans="1:13" s="65" customFormat="1" ht="12">
      <c r="A193" s="84"/>
      <c r="B193" s="85">
        <v>90015</v>
      </c>
      <c r="C193" s="86" t="s">
        <v>324</v>
      </c>
      <c r="D193" s="105">
        <v>1997066</v>
      </c>
      <c r="E193" s="105">
        <f t="shared" si="41"/>
        <v>1533150.7600000002</v>
      </c>
      <c r="F193" s="105">
        <f>1533150.76-306827.85</f>
        <v>1226322.9100000001</v>
      </c>
      <c r="G193" s="105"/>
      <c r="H193" s="105"/>
      <c r="I193" s="105"/>
      <c r="J193" s="105"/>
      <c r="K193" s="105">
        <v>306827.85</v>
      </c>
      <c r="L193" s="871">
        <f t="shared" si="32"/>
        <v>0.767701598244625</v>
      </c>
      <c r="M193" s="137"/>
    </row>
    <row r="194" spans="1:12" ht="12">
      <c r="A194" s="84"/>
      <c r="B194" s="85">
        <v>90020</v>
      </c>
      <c r="C194" s="86" t="s">
        <v>325</v>
      </c>
      <c r="D194" s="105"/>
      <c r="E194" s="105"/>
      <c r="F194" s="270"/>
      <c r="G194" s="270"/>
      <c r="H194" s="270"/>
      <c r="I194" s="270"/>
      <c r="J194" s="270"/>
      <c r="K194" s="270"/>
      <c r="L194" s="871"/>
    </row>
    <row r="195" spans="1:12" ht="12">
      <c r="A195" s="84"/>
      <c r="B195" s="85"/>
      <c r="C195" s="86" t="s">
        <v>326</v>
      </c>
      <c r="D195" s="105">
        <v>104000</v>
      </c>
      <c r="E195" s="105">
        <f t="shared" si="41"/>
        <v>37938.35</v>
      </c>
      <c r="F195" s="105">
        <v>37938.35</v>
      </c>
      <c r="G195" s="270"/>
      <c r="H195" s="270"/>
      <c r="I195" s="270"/>
      <c r="J195" s="270"/>
      <c r="K195" s="270"/>
      <c r="L195" s="871">
        <f t="shared" si="32"/>
        <v>0.36479182692307693</v>
      </c>
    </row>
    <row r="196" spans="1:12" ht="12.75" thickBot="1">
      <c r="A196" s="89"/>
      <c r="B196" s="230">
        <v>90095</v>
      </c>
      <c r="C196" s="90" t="s">
        <v>110</v>
      </c>
      <c r="D196" s="113">
        <v>4815530</v>
      </c>
      <c r="E196" s="544">
        <f t="shared" si="41"/>
        <v>2960626.55</v>
      </c>
      <c r="F196" s="113">
        <f>2960626.55-2456952.35</f>
        <v>503674.1999999997</v>
      </c>
      <c r="G196" s="113">
        <v>126000</v>
      </c>
      <c r="H196" s="113">
        <f>14392.33+2287.35+102561.23</f>
        <v>119240.91</v>
      </c>
      <c r="I196" s="271"/>
      <c r="J196" s="271"/>
      <c r="K196" s="113">
        <v>2456952.35</v>
      </c>
      <c r="L196" s="1297">
        <f t="shared" si="32"/>
        <v>0.6148080377445473</v>
      </c>
    </row>
    <row r="197" spans="1:13" s="118" customFormat="1" ht="12">
      <c r="A197" s="116">
        <v>1</v>
      </c>
      <c r="B197" s="117">
        <v>2</v>
      </c>
      <c r="C197" s="117">
        <v>3</v>
      </c>
      <c r="D197" s="117">
        <v>4</v>
      </c>
      <c r="E197" s="117">
        <v>5</v>
      </c>
      <c r="F197" s="117">
        <v>6</v>
      </c>
      <c r="G197" s="117">
        <v>7</v>
      </c>
      <c r="H197" s="117">
        <v>8</v>
      </c>
      <c r="I197" s="117">
        <v>9</v>
      </c>
      <c r="J197" s="117">
        <v>10</v>
      </c>
      <c r="K197" s="117">
        <v>11</v>
      </c>
      <c r="L197" s="284">
        <v>12</v>
      </c>
      <c r="M197" s="135"/>
    </row>
    <row r="198" spans="1:12" ht="12">
      <c r="A198" s="84"/>
      <c r="B198" s="85"/>
      <c r="C198" s="86"/>
      <c r="D198" s="105"/>
      <c r="E198" s="105"/>
      <c r="F198" s="105"/>
      <c r="G198" s="105"/>
      <c r="H198" s="105"/>
      <c r="I198" s="105"/>
      <c r="J198" s="105"/>
      <c r="K198" s="105"/>
      <c r="L198" s="871"/>
    </row>
    <row r="199" spans="1:12" ht="12">
      <c r="A199" s="84">
        <v>921</v>
      </c>
      <c r="B199" s="85"/>
      <c r="C199" s="86" t="s">
        <v>283</v>
      </c>
      <c r="D199" s="105"/>
      <c r="E199" s="105"/>
      <c r="F199" s="105"/>
      <c r="G199" s="105"/>
      <c r="H199" s="105"/>
      <c r="I199" s="105"/>
      <c r="J199" s="105"/>
      <c r="K199" s="105"/>
      <c r="L199" s="871"/>
    </row>
    <row r="200" spans="1:12" ht="12">
      <c r="A200" s="84"/>
      <c r="B200" s="87"/>
      <c r="C200" s="88" t="s">
        <v>284</v>
      </c>
      <c r="D200" s="112">
        <f>SUM(D202:D205)</f>
        <v>5731528</v>
      </c>
      <c r="E200" s="112">
        <f>SUM(E202:E205)</f>
        <v>3141257.23</v>
      </c>
      <c r="F200" s="112">
        <f aca="true" t="shared" si="42" ref="F200:K200">SUM(F202:F205)</f>
        <v>3100491.87</v>
      </c>
      <c r="G200" s="112">
        <f t="shared" si="42"/>
        <v>2642955.44</v>
      </c>
      <c r="H200" s="112">
        <f t="shared" si="42"/>
        <v>81760.95</v>
      </c>
      <c r="I200" s="112">
        <f t="shared" si="42"/>
        <v>0</v>
      </c>
      <c r="J200" s="112">
        <f t="shared" si="42"/>
        <v>0</v>
      </c>
      <c r="K200" s="112">
        <f t="shared" si="42"/>
        <v>40765.36</v>
      </c>
      <c r="L200" s="931">
        <f aca="true" t="shared" si="43" ref="L200:L212">SUM(E200/D200)</f>
        <v>0.5480662800565573</v>
      </c>
    </row>
    <row r="201" spans="1:12" ht="12">
      <c r="A201" s="84"/>
      <c r="B201" s="85"/>
      <c r="C201" s="86"/>
      <c r="D201" s="105"/>
      <c r="E201" s="105"/>
      <c r="F201" s="270"/>
      <c r="G201" s="270"/>
      <c r="H201" s="270"/>
      <c r="I201" s="270"/>
      <c r="J201" s="270"/>
      <c r="K201" s="270"/>
      <c r="L201" s="871"/>
    </row>
    <row r="202" spans="1:13" s="65" customFormat="1" ht="12">
      <c r="A202" s="84"/>
      <c r="B202" s="85">
        <v>92109</v>
      </c>
      <c r="C202" s="86" t="s">
        <v>201</v>
      </c>
      <c r="D202" s="105">
        <v>4180328</v>
      </c>
      <c r="E202" s="110">
        <f>SUM(F202+K202)</f>
        <v>2116778.56</v>
      </c>
      <c r="F202" s="105">
        <f>2116778.56-35765.36</f>
        <v>2081013.2</v>
      </c>
      <c r="G202" s="105">
        <v>1671000</v>
      </c>
      <c r="H202" s="546">
        <f>3698.25+595.35+42210</f>
        <v>46503.6</v>
      </c>
      <c r="I202" s="270"/>
      <c r="J202" s="270"/>
      <c r="K202" s="105">
        <v>35765.36</v>
      </c>
      <c r="L202" s="871">
        <f t="shared" si="43"/>
        <v>0.506366620035557</v>
      </c>
      <c r="M202" s="137"/>
    </row>
    <row r="203" spans="1:12" ht="12">
      <c r="A203" s="84"/>
      <c r="B203" s="85">
        <v>92116</v>
      </c>
      <c r="C203" s="86" t="s">
        <v>327</v>
      </c>
      <c r="D203" s="105">
        <v>1032200</v>
      </c>
      <c r="E203" s="110">
        <f>SUM(F203+K203)</f>
        <v>778000</v>
      </c>
      <c r="F203" s="105">
        <v>773000</v>
      </c>
      <c r="G203" s="105">
        <v>773000</v>
      </c>
      <c r="H203" s="105"/>
      <c r="I203" s="105"/>
      <c r="J203" s="105"/>
      <c r="K203" s="105">
        <v>5000</v>
      </c>
      <c r="L203" s="871">
        <f t="shared" si="43"/>
        <v>0.7537298973067235</v>
      </c>
    </row>
    <row r="204" spans="1:12" ht="12">
      <c r="A204" s="84"/>
      <c r="B204" s="85">
        <v>92120</v>
      </c>
      <c r="C204" s="86" t="s">
        <v>328</v>
      </c>
      <c r="D204" s="105">
        <v>439000</v>
      </c>
      <c r="E204" s="110">
        <f>SUM(F204+K204)</f>
        <v>185224.15</v>
      </c>
      <c r="F204" s="105">
        <v>185224.15</v>
      </c>
      <c r="G204" s="105">
        <v>149966.8</v>
      </c>
      <c r="H204" s="105">
        <f>35257.35</f>
        <v>35257.35</v>
      </c>
      <c r="I204" s="270"/>
      <c r="J204" s="270"/>
      <c r="K204" s="270"/>
      <c r="L204" s="871">
        <f t="shared" si="43"/>
        <v>0.42192289293849655</v>
      </c>
    </row>
    <row r="205" spans="1:12" ht="12.75" thickBot="1">
      <c r="A205" s="246"/>
      <c r="B205" s="229">
        <v>92195</v>
      </c>
      <c r="C205" s="228" t="s">
        <v>110</v>
      </c>
      <c r="D205" s="539">
        <v>80000</v>
      </c>
      <c r="E205" s="539">
        <f>SUM(F205+K205)</f>
        <v>61254.52</v>
      </c>
      <c r="F205" s="111">
        <v>61254.52</v>
      </c>
      <c r="G205" s="111">
        <v>48988.64</v>
      </c>
      <c r="H205" s="275"/>
      <c r="I205" s="275"/>
      <c r="J205" s="275"/>
      <c r="K205" s="275"/>
      <c r="L205" s="1304">
        <f t="shared" si="43"/>
        <v>0.7656815</v>
      </c>
    </row>
    <row r="206" spans="1:12" ht="12.75" thickTop="1">
      <c r="A206" s="75"/>
      <c r="B206" s="232"/>
      <c r="C206" s="232"/>
      <c r="D206" s="122"/>
      <c r="E206" s="122"/>
      <c r="F206" s="279"/>
      <c r="G206" s="279"/>
      <c r="H206" s="279"/>
      <c r="I206" s="279"/>
      <c r="J206" s="279"/>
      <c r="K206" s="279"/>
      <c r="L206" s="871"/>
    </row>
    <row r="207" spans="1:12" ht="12">
      <c r="A207" s="84">
        <v>926</v>
      </c>
      <c r="B207" s="87"/>
      <c r="C207" s="88" t="s">
        <v>82</v>
      </c>
      <c r="D207" s="112">
        <f>SUM(D209:D212)</f>
        <v>5649702</v>
      </c>
      <c r="E207" s="112">
        <f>SUM(E209:E212)</f>
        <v>2485469.5599999996</v>
      </c>
      <c r="F207" s="112">
        <f aca="true" t="shared" si="44" ref="F207:K207">SUM(F209:F212)</f>
        <v>2242827.42</v>
      </c>
      <c r="G207" s="112">
        <f t="shared" si="44"/>
        <v>714200</v>
      </c>
      <c r="H207" s="112">
        <f t="shared" si="44"/>
        <v>658783.55</v>
      </c>
      <c r="I207" s="112">
        <f t="shared" si="44"/>
        <v>0</v>
      </c>
      <c r="J207" s="112">
        <f t="shared" si="44"/>
        <v>0</v>
      </c>
      <c r="K207" s="112">
        <f t="shared" si="44"/>
        <v>242642.14</v>
      </c>
      <c r="L207" s="931">
        <f t="shared" si="43"/>
        <v>0.43992932016591313</v>
      </c>
    </row>
    <row r="208" spans="1:12" ht="12">
      <c r="A208" s="84"/>
      <c r="B208" s="85"/>
      <c r="C208" s="86"/>
      <c r="D208" s="105"/>
      <c r="E208" s="105"/>
      <c r="F208" s="270"/>
      <c r="G208" s="270"/>
      <c r="H208" s="270"/>
      <c r="I208" s="270"/>
      <c r="J208" s="270"/>
      <c r="K208" s="270"/>
      <c r="L208" s="871"/>
    </row>
    <row r="209" spans="1:13" s="76" customFormat="1" ht="12" customHeight="1">
      <c r="A209" s="84"/>
      <c r="B209" s="85">
        <v>92601</v>
      </c>
      <c r="C209" s="86" t="s">
        <v>363</v>
      </c>
      <c r="D209" s="105">
        <v>2517000</v>
      </c>
      <c r="E209" s="105">
        <f>SUM(F209+K209)</f>
        <v>40794.89</v>
      </c>
      <c r="F209" s="105">
        <v>0</v>
      </c>
      <c r="G209" s="105"/>
      <c r="H209" s="548">
        <v>0</v>
      </c>
      <c r="I209" s="105"/>
      <c r="J209" s="105"/>
      <c r="K209" s="105">
        <v>40794.89</v>
      </c>
      <c r="L209" s="871">
        <f t="shared" si="43"/>
        <v>0.016207743345252285</v>
      </c>
      <c r="M209" s="212"/>
    </row>
    <row r="210" spans="1:13" s="76" customFormat="1" ht="12" customHeight="1">
      <c r="A210" s="84"/>
      <c r="B210" s="85">
        <v>92604</v>
      </c>
      <c r="C210" s="86" t="s">
        <v>202</v>
      </c>
      <c r="D210" s="105">
        <v>2227902</v>
      </c>
      <c r="E210" s="105">
        <f>SUM(F210+K210)</f>
        <v>1674749.08</v>
      </c>
      <c r="F210" s="105">
        <f>1674749.08-180739.95-21107.3</f>
        <v>1472901.83</v>
      </c>
      <c r="G210" s="270"/>
      <c r="H210" s="548">
        <f>505796.87+46882.11+76451.57+15202.51+14450.49</f>
        <v>658783.55</v>
      </c>
      <c r="I210" s="270"/>
      <c r="J210" s="270"/>
      <c r="K210" s="105">
        <f>21107.3+180739.95</f>
        <v>201847.25</v>
      </c>
      <c r="L210" s="871">
        <f t="shared" si="43"/>
        <v>0.7517157756490187</v>
      </c>
      <c r="M210" s="212"/>
    </row>
    <row r="211" spans="1:12" ht="12">
      <c r="A211" s="84"/>
      <c r="B211" s="85">
        <v>92605</v>
      </c>
      <c r="C211" s="86" t="s">
        <v>329</v>
      </c>
      <c r="D211" s="105">
        <v>867800</v>
      </c>
      <c r="E211" s="105">
        <f>SUM(F211+K211)</f>
        <v>754700</v>
      </c>
      <c r="F211" s="105">
        <v>754700</v>
      </c>
      <c r="G211" s="105">
        <v>714200</v>
      </c>
      <c r="H211" s="270"/>
      <c r="I211" s="270"/>
      <c r="J211" s="270"/>
      <c r="K211" s="270"/>
      <c r="L211" s="871">
        <f t="shared" si="43"/>
        <v>0.869670430974879</v>
      </c>
    </row>
    <row r="212" spans="1:12" ht="12" customHeight="1" thickBot="1">
      <c r="A212" s="84"/>
      <c r="B212" s="85">
        <v>92695</v>
      </c>
      <c r="C212" s="86" t="s">
        <v>110</v>
      </c>
      <c r="D212" s="105">
        <v>37000</v>
      </c>
      <c r="E212" s="544">
        <f>SUM(F212+K212)</f>
        <v>15225.59</v>
      </c>
      <c r="F212" s="105">
        <v>15225.59</v>
      </c>
      <c r="G212" s="270"/>
      <c r="H212" s="270"/>
      <c r="I212" s="270"/>
      <c r="J212" s="270"/>
      <c r="K212" s="270"/>
      <c r="L212" s="1297">
        <f t="shared" si="43"/>
        <v>0.41150243243243245</v>
      </c>
    </row>
    <row r="213" spans="1:12" ht="12">
      <c r="A213" s="91" t="s">
        <v>305</v>
      </c>
      <c r="B213" s="123"/>
      <c r="C213" s="123"/>
      <c r="D213" s="280"/>
      <c r="E213" s="124"/>
      <c r="F213" s="280"/>
      <c r="G213" s="280"/>
      <c r="H213" s="280"/>
      <c r="I213" s="280"/>
      <c r="J213" s="280"/>
      <c r="K213" s="283"/>
      <c r="L213" s="871"/>
    </row>
    <row r="214" spans="1:13" s="1337" customFormat="1" ht="12.75">
      <c r="A214" s="1320"/>
      <c r="B214" s="1321"/>
      <c r="C214" s="1321" t="s">
        <v>203</v>
      </c>
      <c r="D214" s="1335">
        <f>D207+D200+D187+D178+D173+D159+D152+D139+D134+D129+D124+D113+D105+D98+D92+D88+D83+D78+D71</f>
        <v>116628663</v>
      </c>
      <c r="E214" s="1335">
        <f aca="true" t="shared" si="45" ref="E214:K214">SUM(E71,E78,E83,E88,E92,E98,E105,E113,E124,E129,E134,E139,E152,E159,E173,E178,E187,E200,E207)</f>
        <v>75907423.98000002</v>
      </c>
      <c r="F214" s="1335">
        <f t="shared" si="45"/>
        <v>58639535.64</v>
      </c>
      <c r="G214" s="1335">
        <f t="shared" si="45"/>
        <v>33616975.010000005</v>
      </c>
      <c r="H214" s="1335">
        <f t="shared" si="45"/>
        <v>9321879.51</v>
      </c>
      <c r="I214" s="1335">
        <f t="shared" si="45"/>
        <v>134412.44</v>
      </c>
      <c r="J214" s="1335">
        <f t="shared" si="45"/>
        <v>0</v>
      </c>
      <c r="K214" s="1323">
        <f t="shared" si="45"/>
        <v>17267888.339999996</v>
      </c>
      <c r="L214" s="1324">
        <f>SUM(E214/D214)</f>
        <v>0.6508470733305073</v>
      </c>
      <c r="M214" s="1336"/>
    </row>
    <row r="215" spans="1:13" s="82" customFormat="1" ht="13.5" thickBot="1">
      <c r="A215" s="217"/>
      <c r="B215" s="79"/>
      <c r="C215" s="80"/>
      <c r="D215" s="272"/>
      <c r="E215" s="104"/>
      <c r="F215" s="272"/>
      <c r="G215" s="272"/>
      <c r="H215" s="272"/>
      <c r="I215" s="272"/>
      <c r="J215" s="272"/>
      <c r="K215" s="1303"/>
      <c r="L215" s="1297"/>
      <c r="M215" s="215"/>
    </row>
    <row r="216" spans="1:12" ht="15" customHeight="1">
      <c r="A216" s="1380" t="s">
        <v>631</v>
      </c>
      <c r="B216" s="1380"/>
      <c r="C216" s="1380"/>
      <c r="D216" s="1380"/>
      <c r="E216" s="1380"/>
      <c r="F216" s="1380"/>
      <c r="G216" s="1380"/>
      <c r="H216" s="1380"/>
      <c r="I216" s="1380"/>
      <c r="J216" s="1380"/>
      <c r="K216" s="1380"/>
      <c r="L216" s="216"/>
    </row>
    <row r="217" spans="1:12" ht="15" customHeight="1">
      <c r="A217" s="125"/>
      <c r="B217" s="1406" t="s">
        <v>630</v>
      </c>
      <c r="C217" s="1406"/>
      <c r="D217" s="1406"/>
      <c r="E217" s="1406"/>
      <c r="F217" s="1406"/>
      <c r="G217" s="1406"/>
      <c r="H217" s="1406"/>
      <c r="I217" s="274"/>
      <c r="J217" s="274"/>
      <c r="K217" s="274"/>
      <c r="L217" s="216"/>
    </row>
    <row r="218" spans="1:12" ht="15" customHeight="1">
      <c r="A218" s="125"/>
      <c r="B218" s="125"/>
      <c r="C218" s="125"/>
      <c r="D218" s="274"/>
      <c r="E218" s="222"/>
      <c r="F218" s="274"/>
      <c r="G218" s="274"/>
      <c r="H218" s="274"/>
      <c r="I218" s="274"/>
      <c r="J218" s="274"/>
      <c r="K218" s="274"/>
      <c r="L218" s="216"/>
    </row>
    <row r="219" spans="1:13" s="82" customFormat="1" ht="12.75" customHeight="1" thickBot="1">
      <c r="A219" s="81"/>
      <c r="B219" s="81"/>
      <c r="C219" s="81"/>
      <c r="D219" s="281"/>
      <c r="E219" s="126"/>
      <c r="F219" s="281"/>
      <c r="G219" s="281"/>
      <c r="H219" s="281"/>
      <c r="I219" s="281"/>
      <c r="J219" s="281"/>
      <c r="K219" s="214"/>
      <c r="L219" s="214" t="s">
        <v>57</v>
      </c>
      <c r="M219" s="215"/>
    </row>
    <row r="220" spans="1:13" s="65" customFormat="1" ht="12" customHeight="1">
      <c r="A220" s="1395" t="s">
        <v>58</v>
      </c>
      <c r="B220" s="1385" t="s">
        <v>84</v>
      </c>
      <c r="C220" s="1388" t="s">
        <v>86</v>
      </c>
      <c r="D220" s="1391" t="s">
        <v>60</v>
      </c>
      <c r="E220" s="1391" t="s">
        <v>341</v>
      </c>
      <c r="F220" s="1399" t="s">
        <v>61</v>
      </c>
      <c r="G220" s="1400"/>
      <c r="H220" s="1400"/>
      <c r="I220" s="1400"/>
      <c r="J220" s="1400"/>
      <c r="K220" s="1400"/>
      <c r="L220" s="1407" t="s">
        <v>632</v>
      </c>
      <c r="M220" s="137"/>
    </row>
    <row r="221" spans="1:12" ht="12" customHeight="1">
      <c r="A221" s="1396"/>
      <c r="B221" s="1386"/>
      <c r="C221" s="1389"/>
      <c r="D221" s="1392"/>
      <c r="E221" s="1392"/>
      <c r="F221" s="1401" t="s">
        <v>257</v>
      </c>
      <c r="G221" s="1394" t="s">
        <v>258</v>
      </c>
      <c r="H221" s="1394"/>
      <c r="I221" s="1394"/>
      <c r="J221" s="1394"/>
      <c r="K221" s="1339" t="s">
        <v>259</v>
      </c>
      <c r="L221" s="1408"/>
    </row>
    <row r="222" spans="1:12" ht="36">
      <c r="A222" s="1397"/>
      <c r="B222" s="1387"/>
      <c r="C222" s="1390"/>
      <c r="D222" s="1393"/>
      <c r="E222" s="1393"/>
      <c r="F222" s="1393"/>
      <c r="G222" s="102" t="s">
        <v>260</v>
      </c>
      <c r="H222" s="102" t="s">
        <v>285</v>
      </c>
      <c r="I222" s="102" t="s">
        <v>262</v>
      </c>
      <c r="J222" s="102" t="s">
        <v>263</v>
      </c>
      <c r="K222" s="1379"/>
      <c r="L222" s="1409"/>
    </row>
    <row r="223" spans="1:13" s="118" customFormat="1" ht="12.75" thickBot="1">
      <c r="A223" s="127">
        <v>1</v>
      </c>
      <c r="B223" s="1240">
        <v>2</v>
      </c>
      <c r="C223" s="129">
        <v>3</v>
      </c>
      <c r="D223" s="128">
        <v>4</v>
      </c>
      <c r="E223" s="128">
        <v>5</v>
      </c>
      <c r="F223" s="128">
        <v>6</v>
      </c>
      <c r="G223" s="128">
        <v>7</v>
      </c>
      <c r="H223" s="128">
        <v>8</v>
      </c>
      <c r="I223" s="128">
        <v>9</v>
      </c>
      <c r="J223" s="128">
        <v>10</v>
      </c>
      <c r="K223" s="128">
        <v>11</v>
      </c>
      <c r="L223" s="1300" t="s">
        <v>628</v>
      </c>
      <c r="M223" s="135"/>
    </row>
    <row r="224" spans="1:12" ht="12">
      <c r="A224" s="114"/>
      <c r="B224" s="109"/>
      <c r="C224" s="86"/>
      <c r="D224" s="105"/>
      <c r="E224" s="105"/>
      <c r="F224" s="105"/>
      <c r="G224" s="105"/>
      <c r="H224" s="105"/>
      <c r="I224" s="105"/>
      <c r="J224" s="105"/>
      <c r="K224" s="105"/>
      <c r="L224" s="1296"/>
    </row>
    <row r="225" spans="1:12" ht="12">
      <c r="A225" s="150" t="s">
        <v>264</v>
      </c>
      <c r="B225" s="115"/>
      <c r="C225" s="88" t="s">
        <v>265</v>
      </c>
      <c r="D225" s="112">
        <f>SUM(D227)</f>
        <v>5403.3099999999995</v>
      </c>
      <c r="E225" s="112">
        <f aca="true" t="shared" si="46" ref="E225:K225">SUM(E227)</f>
        <v>5403.3099999999995</v>
      </c>
      <c r="F225" s="112">
        <f t="shared" si="46"/>
        <v>5403.3099999999995</v>
      </c>
      <c r="G225" s="112">
        <f t="shared" si="46"/>
        <v>0</v>
      </c>
      <c r="H225" s="112">
        <f t="shared" si="46"/>
        <v>0</v>
      </c>
      <c r="I225" s="112">
        <f t="shared" si="46"/>
        <v>0</v>
      </c>
      <c r="J225" s="112">
        <f t="shared" si="46"/>
        <v>0</v>
      </c>
      <c r="K225" s="112">
        <f t="shared" si="46"/>
        <v>0</v>
      </c>
      <c r="L225" s="931">
        <f>SUM(E225/D225)</f>
        <v>1</v>
      </c>
    </row>
    <row r="226" spans="1:12" ht="12">
      <c r="A226" s="84"/>
      <c r="B226" s="108"/>
      <c r="C226" s="86"/>
      <c r="D226" s="270"/>
      <c r="E226" s="105"/>
      <c r="F226" s="270"/>
      <c r="G226" s="270"/>
      <c r="H226" s="270"/>
      <c r="I226" s="270"/>
      <c r="J226" s="270"/>
      <c r="K226" s="270"/>
      <c r="L226" s="871"/>
    </row>
    <row r="227" spans="1:12" ht="12.75" thickBot="1">
      <c r="A227" s="246"/>
      <c r="B227" s="1241" t="s">
        <v>290</v>
      </c>
      <c r="C227" s="233" t="s">
        <v>110</v>
      </c>
      <c r="D227" s="111">
        <f>5297.36+105.95</f>
        <v>5403.3099999999995</v>
      </c>
      <c r="E227" s="111">
        <f>SUM(F227+K227)</f>
        <v>5403.3099999999995</v>
      </c>
      <c r="F227" s="543">
        <f>5297.36+105.95</f>
        <v>5403.3099999999995</v>
      </c>
      <c r="G227" s="282"/>
      <c r="H227" s="282"/>
      <c r="I227" s="282"/>
      <c r="J227" s="282"/>
      <c r="K227" s="282"/>
      <c r="L227" s="1304">
        <f>SUM(E227/D227)</f>
        <v>1</v>
      </c>
    </row>
    <row r="228" spans="1:12" ht="12.75" thickTop="1">
      <c r="A228" s="114"/>
      <c r="B228" s="109"/>
      <c r="C228" s="86"/>
      <c r="D228" s="105"/>
      <c r="E228" s="105"/>
      <c r="F228" s="105"/>
      <c r="G228" s="105"/>
      <c r="H228" s="105"/>
      <c r="I228" s="105"/>
      <c r="J228" s="105"/>
      <c r="K228" s="105"/>
      <c r="L228" s="871"/>
    </row>
    <row r="229" spans="1:12" ht="12">
      <c r="A229" s="84">
        <v>750</v>
      </c>
      <c r="B229" s="115"/>
      <c r="C229" s="88" t="s">
        <v>67</v>
      </c>
      <c r="D229" s="105">
        <f aca="true" t="shared" si="47" ref="D229:K229">SUM(D231:D231)</f>
        <v>297000</v>
      </c>
      <c r="E229" s="107">
        <f t="shared" si="47"/>
        <v>228342</v>
      </c>
      <c r="F229" s="112">
        <f t="shared" si="47"/>
        <v>228342</v>
      </c>
      <c r="G229" s="112">
        <f t="shared" si="47"/>
        <v>0</v>
      </c>
      <c r="H229" s="112">
        <f t="shared" si="47"/>
        <v>228342</v>
      </c>
      <c r="I229" s="112">
        <f t="shared" si="47"/>
        <v>0</v>
      </c>
      <c r="J229" s="112">
        <f t="shared" si="47"/>
        <v>0</v>
      </c>
      <c r="K229" s="112">
        <f t="shared" si="47"/>
        <v>0</v>
      </c>
      <c r="L229" s="931">
        <f>SUM(E229/D229)</f>
        <v>0.7688282828282829</v>
      </c>
    </row>
    <row r="230" spans="1:12" ht="12">
      <c r="A230" s="84"/>
      <c r="B230" s="108"/>
      <c r="C230" s="86"/>
      <c r="D230" s="288"/>
      <c r="E230" s="105"/>
      <c r="F230" s="270"/>
      <c r="G230" s="270"/>
      <c r="H230" s="270"/>
      <c r="I230" s="270"/>
      <c r="J230" s="270"/>
      <c r="K230" s="270"/>
      <c r="L230" s="871"/>
    </row>
    <row r="231" spans="1:12" ht="12.75" thickBot="1">
      <c r="A231" s="246"/>
      <c r="B231" s="1237">
        <v>75011</v>
      </c>
      <c r="C231" s="228" t="s">
        <v>103</v>
      </c>
      <c r="D231" s="539">
        <v>297000</v>
      </c>
      <c r="E231" s="111">
        <f>SUM(F231+K231)</f>
        <v>228342</v>
      </c>
      <c r="F231" s="111">
        <v>228342</v>
      </c>
      <c r="G231" s="111"/>
      <c r="H231" s="111">
        <v>228342</v>
      </c>
      <c r="I231" s="111"/>
      <c r="J231" s="111"/>
      <c r="K231" s="111"/>
      <c r="L231" s="1304">
        <f>SUM(E231/D231)</f>
        <v>0.7688282828282829</v>
      </c>
    </row>
    <row r="232" spans="1:12" ht="12.75" thickTop="1">
      <c r="A232" s="84"/>
      <c r="B232" s="108"/>
      <c r="C232" s="86"/>
      <c r="D232" s="105"/>
      <c r="E232" s="105"/>
      <c r="F232" s="270"/>
      <c r="G232" s="270"/>
      <c r="H232" s="270"/>
      <c r="I232" s="270"/>
      <c r="J232" s="270"/>
      <c r="K232" s="270"/>
      <c r="L232" s="871"/>
    </row>
    <row r="233" spans="1:12" ht="12" customHeight="1">
      <c r="A233" s="84">
        <v>751</v>
      </c>
      <c r="B233" s="108"/>
      <c r="C233" s="86" t="s">
        <v>330</v>
      </c>
      <c r="D233" s="105"/>
      <c r="E233" s="105"/>
      <c r="F233" s="270"/>
      <c r="G233" s="270"/>
      <c r="H233" s="270"/>
      <c r="I233" s="270"/>
      <c r="J233" s="270"/>
      <c r="K233" s="270"/>
      <c r="L233" s="871"/>
    </row>
    <row r="234" spans="1:12" ht="12">
      <c r="A234" s="84"/>
      <c r="B234" s="108"/>
      <c r="C234" s="86" t="s">
        <v>331</v>
      </c>
      <c r="D234" s="105"/>
      <c r="E234" s="105"/>
      <c r="F234" s="105"/>
      <c r="G234" s="105"/>
      <c r="H234" s="105"/>
      <c r="I234" s="105"/>
      <c r="J234" s="105"/>
      <c r="K234" s="105"/>
      <c r="L234" s="871"/>
    </row>
    <row r="235" spans="1:13" s="82" customFormat="1" ht="12">
      <c r="A235" s="84"/>
      <c r="B235" s="115"/>
      <c r="C235" s="88" t="s">
        <v>273</v>
      </c>
      <c r="D235" s="112">
        <f aca="true" t="shared" si="48" ref="D235:K235">SUM(D238:D238)</f>
        <v>6000</v>
      </c>
      <c r="E235" s="112">
        <f t="shared" si="48"/>
        <v>3177.11</v>
      </c>
      <c r="F235" s="112">
        <f t="shared" si="48"/>
        <v>3177.11</v>
      </c>
      <c r="G235" s="112">
        <f t="shared" si="48"/>
        <v>0</v>
      </c>
      <c r="H235" s="112">
        <f t="shared" si="48"/>
        <v>3177.11</v>
      </c>
      <c r="I235" s="112">
        <f t="shared" si="48"/>
        <v>0</v>
      </c>
      <c r="J235" s="112">
        <f t="shared" si="48"/>
        <v>0</v>
      </c>
      <c r="K235" s="112">
        <f t="shared" si="48"/>
        <v>0</v>
      </c>
      <c r="L235" s="931">
        <f>SUM(E235/D235)</f>
        <v>0.5295183333333333</v>
      </c>
      <c r="M235" s="215"/>
    </row>
    <row r="236" spans="1:12" ht="16.5" customHeight="1">
      <c r="A236" s="84"/>
      <c r="B236" s="108"/>
      <c r="C236" s="86"/>
      <c r="D236" s="288"/>
      <c r="E236" s="105"/>
      <c r="F236" s="270"/>
      <c r="G236" s="270"/>
      <c r="H236" s="270"/>
      <c r="I236" s="270"/>
      <c r="J236" s="270"/>
      <c r="K236" s="270"/>
      <c r="L236" s="871"/>
    </row>
    <row r="237" spans="1:12" ht="12.75" customHeight="1">
      <c r="A237" s="84"/>
      <c r="B237" s="108">
        <v>75101</v>
      </c>
      <c r="C237" s="86" t="s">
        <v>208</v>
      </c>
      <c r="D237" s="110"/>
      <c r="E237" s="105"/>
      <c r="F237" s="105"/>
      <c r="G237" s="105"/>
      <c r="H237" s="105"/>
      <c r="I237" s="270"/>
      <c r="J237" s="270"/>
      <c r="K237" s="270"/>
      <c r="L237" s="871"/>
    </row>
    <row r="238" spans="1:12" ht="12.75" customHeight="1" thickBot="1">
      <c r="A238" s="246"/>
      <c r="B238" s="1237"/>
      <c r="C238" s="228" t="s">
        <v>209</v>
      </c>
      <c r="D238" s="539">
        <v>6000</v>
      </c>
      <c r="E238" s="111">
        <f>SUM(F238+K238)</f>
        <v>3177.11</v>
      </c>
      <c r="F238" s="111">
        <v>3177.11</v>
      </c>
      <c r="G238" s="111"/>
      <c r="H238" s="111">
        <v>3177.11</v>
      </c>
      <c r="I238" s="275"/>
      <c r="J238" s="275"/>
      <c r="K238" s="275"/>
      <c r="L238" s="1304">
        <f>SUM(E238/D238)</f>
        <v>0.5295183333333333</v>
      </c>
    </row>
    <row r="239" spans="1:13" s="82" customFormat="1" ht="12.75" customHeight="1" thickTop="1">
      <c r="A239" s="84"/>
      <c r="B239" s="108"/>
      <c r="C239" s="86"/>
      <c r="D239" s="105"/>
      <c r="E239" s="105"/>
      <c r="F239" s="270"/>
      <c r="G239" s="270"/>
      <c r="H239" s="270"/>
      <c r="I239" s="270"/>
      <c r="J239" s="270"/>
      <c r="K239" s="270"/>
      <c r="L239" s="871"/>
      <c r="M239" s="215"/>
    </row>
    <row r="240" spans="1:13" s="82" customFormat="1" ht="12.75" customHeight="1">
      <c r="A240" s="84">
        <v>851</v>
      </c>
      <c r="B240" s="115"/>
      <c r="C240" s="88" t="s">
        <v>77</v>
      </c>
      <c r="D240" s="112">
        <f aca="true" t="shared" si="49" ref="D240:K240">SUM(D242)</f>
        <v>2000</v>
      </c>
      <c r="E240" s="112">
        <f t="shared" si="49"/>
        <v>0</v>
      </c>
      <c r="F240" s="112">
        <f t="shared" si="49"/>
        <v>0</v>
      </c>
      <c r="G240" s="112">
        <f t="shared" si="49"/>
        <v>0</v>
      </c>
      <c r="H240" s="112">
        <f t="shared" si="49"/>
        <v>0</v>
      </c>
      <c r="I240" s="112">
        <f t="shared" si="49"/>
        <v>0</v>
      </c>
      <c r="J240" s="112">
        <f t="shared" si="49"/>
        <v>0</v>
      </c>
      <c r="K240" s="112">
        <f t="shared" si="49"/>
        <v>0</v>
      </c>
      <c r="L240" s="931">
        <f>SUM(E240/D240)</f>
        <v>0</v>
      </c>
      <c r="M240" s="215"/>
    </row>
    <row r="241" spans="1:13" s="82" customFormat="1" ht="12.75" customHeight="1">
      <c r="A241" s="84"/>
      <c r="B241" s="108"/>
      <c r="C241" s="86"/>
      <c r="D241" s="105"/>
      <c r="E241" s="105"/>
      <c r="F241" s="270"/>
      <c r="G241" s="270"/>
      <c r="H241" s="270"/>
      <c r="I241" s="270"/>
      <c r="J241" s="270"/>
      <c r="K241" s="270"/>
      <c r="L241" s="871"/>
      <c r="M241" s="215"/>
    </row>
    <row r="242" spans="1:13" s="82" customFormat="1" ht="12.75" customHeight="1" thickBot="1">
      <c r="A242" s="246"/>
      <c r="B242" s="1237">
        <v>85195</v>
      </c>
      <c r="C242" s="228" t="s">
        <v>110</v>
      </c>
      <c r="D242" s="539">
        <v>2000</v>
      </c>
      <c r="E242" s="111">
        <f>SUM(F242+K242)</f>
        <v>0</v>
      </c>
      <c r="F242" s="111">
        <v>0</v>
      </c>
      <c r="G242" s="111"/>
      <c r="H242" s="111">
        <v>0</v>
      </c>
      <c r="I242" s="275"/>
      <c r="J242" s="275"/>
      <c r="K242" s="275"/>
      <c r="L242" s="1304">
        <f>SUM(E242/D242)</f>
        <v>0</v>
      </c>
      <c r="M242" s="215"/>
    </row>
    <row r="243" spans="1:13" s="82" customFormat="1" ht="12.75" customHeight="1" thickTop="1">
      <c r="A243" s="84"/>
      <c r="B243" s="108"/>
      <c r="C243" s="86"/>
      <c r="D243" s="105"/>
      <c r="E243" s="105"/>
      <c r="F243" s="270"/>
      <c r="G243" s="270"/>
      <c r="H243" s="270"/>
      <c r="I243" s="270"/>
      <c r="J243" s="270"/>
      <c r="K243" s="270"/>
      <c r="L243" s="871"/>
      <c r="M243" s="215"/>
    </row>
    <row r="244" spans="1:12" ht="12" customHeight="1">
      <c r="A244" s="84">
        <v>852</v>
      </c>
      <c r="B244" s="115"/>
      <c r="C244" s="88" t="s">
        <v>78</v>
      </c>
      <c r="D244" s="107">
        <f aca="true" t="shared" si="50" ref="D244:K244">SUM(D246:D257)</f>
        <v>9637793</v>
      </c>
      <c r="E244" s="107">
        <f>SUM(E246:E257)</f>
        <v>6591597.37</v>
      </c>
      <c r="F244" s="107">
        <f t="shared" si="50"/>
        <v>6591597.37</v>
      </c>
      <c r="G244" s="107">
        <f t="shared" si="50"/>
        <v>129872</v>
      </c>
      <c r="H244" s="107">
        <f t="shared" si="50"/>
        <v>258820.76</v>
      </c>
      <c r="I244" s="107">
        <f t="shared" si="50"/>
        <v>0</v>
      </c>
      <c r="J244" s="107">
        <f t="shared" si="50"/>
        <v>0</v>
      </c>
      <c r="K244" s="112">
        <f t="shared" si="50"/>
        <v>0</v>
      </c>
      <c r="L244" s="931">
        <f>SUM(E244/D244)</f>
        <v>0.683932241541191</v>
      </c>
    </row>
    <row r="245" spans="1:12" ht="12">
      <c r="A245" s="84"/>
      <c r="B245" s="108"/>
      <c r="C245" s="86"/>
      <c r="D245" s="105"/>
      <c r="E245" s="105"/>
      <c r="F245" s="270"/>
      <c r="G245" s="270"/>
      <c r="H245" s="270"/>
      <c r="I245" s="270"/>
      <c r="J245" s="270"/>
      <c r="K245" s="270"/>
      <c r="L245" s="871"/>
    </row>
    <row r="246" spans="1:12" ht="12">
      <c r="A246" s="84"/>
      <c r="B246" s="108">
        <v>85203</v>
      </c>
      <c r="C246" s="86" t="s">
        <v>210</v>
      </c>
      <c r="D246" s="105">
        <v>173000</v>
      </c>
      <c r="E246" s="105">
        <f>SUM(F246+K246)</f>
        <v>129872</v>
      </c>
      <c r="F246" s="105">
        <v>129872</v>
      </c>
      <c r="G246" s="105">
        <v>129872</v>
      </c>
      <c r="H246" s="270"/>
      <c r="I246" s="270"/>
      <c r="J246" s="270"/>
      <c r="K246" s="270"/>
      <c r="L246" s="871">
        <f>SUM(E246/D246)</f>
        <v>0.7507052023121388</v>
      </c>
    </row>
    <row r="247" spans="1:12" ht="12">
      <c r="A247" s="84"/>
      <c r="B247" s="108">
        <v>85212</v>
      </c>
      <c r="C247" s="86" t="s">
        <v>332</v>
      </c>
      <c r="D247" s="105"/>
      <c r="E247" s="105"/>
      <c r="F247" s="270"/>
      <c r="G247" s="270"/>
      <c r="H247" s="270"/>
      <c r="I247" s="270"/>
      <c r="J247" s="270"/>
      <c r="K247" s="270"/>
      <c r="L247" s="871"/>
    </row>
    <row r="248" spans="1:12" ht="12">
      <c r="A248" s="84"/>
      <c r="B248" s="108"/>
      <c r="C248" s="86" t="s">
        <v>333</v>
      </c>
      <c r="D248" s="105"/>
      <c r="E248" s="105"/>
      <c r="F248" s="270"/>
      <c r="G248" s="270"/>
      <c r="H248" s="270"/>
      <c r="I248" s="270"/>
      <c r="J248" s="270"/>
      <c r="K248" s="270"/>
      <c r="L248" s="871"/>
    </row>
    <row r="249" spans="1:12" ht="12">
      <c r="A249" s="84"/>
      <c r="B249" s="108"/>
      <c r="C249" s="86" t="s">
        <v>334</v>
      </c>
      <c r="D249" s="105">
        <v>8277250</v>
      </c>
      <c r="E249" s="105">
        <f>SUM(F249+K249)</f>
        <v>5689479.8</v>
      </c>
      <c r="F249" s="105">
        <v>5689479.8</v>
      </c>
      <c r="G249" s="105"/>
      <c r="H249" s="105">
        <f>134101.39+13000+23399.38+3644.52+5835.47</f>
        <v>179980.76</v>
      </c>
      <c r="I249" s="105"/>
      <c r="J249" s="105"/>
      <c r="K249" s="105"/>
      <c r="L249" s="871">
        <f>SUM(E249/D249)</f>
        <v>0.6873635325742246</v>
      </c>
    </row>
    <row r="250" spans="1:12" ht="12">
      <c r="A250" s="84"/>
      <c r="B250" s="108">
        <v>85213</v>
      </c>
      <c r="C250" s="109" t="s">
        <v>335</v>
      </c>
      <c r="D250" s="105"/>
      <c r="E250" s="105"/>
      <c r="F250" s="270"/>
      <c r="G250" s="270"/>
      <c r="H250" s="270"/>
      <c r="I250" s="270"/>
      <c r="J250" s="270"/>
      <c r="K250" s="270"/>
      <c r="L250" s="871"/>
    </row>
    <row r="251" spans="1:12" ht="12">
      <c r="A251" s="84"/>
      <c r="B251" s="108"/>
      <c r="C251" s="109" t="s">
        <v>336</v>
      </c>
      <c r="D251" s="105"/>
      <c r="E251" s="105"/>
      <c r="F251" s="270"/>
      <c r="G251" s="270"/>
      <c r="H251" s="270"/>
      <c r="I251" s="270"/>
      <c r="J251" s="270"/>
      <c r="K251" s="270"/>
      <c r="L251" s="871"/>
    </row>
    <row r="252" spans="1:12" ht="12">
      <c r="A252" s="84"/>
      <c r="B252" s="108"/>
      <c r="C252" s="109" t="s">
        <v>337</v>
      </c>
      <c r="D252" s="105"/>
      <c r="E252" s="105"/>
      <c r="F252" s="270"/>
      <c r="G252" s="270"/>
      <c r="H252" s="270"/>
      <c r="I252" s="270"/>
      <c r="J252" s="270"/>
      <c r="K252" s="270"/>
      <c r="L252" s="871"/>
    </row>
    <row r="253" spans="1:12" ht="12">
      <c r="A253" s="84"/>
      <c r="B253" s="108"/>
      <c r="C253" s="109" t="s">
        <v>338</v>
      </c>
      <c r="D253" s="105">
        <v>102000</v>
      </c>
      <c r="E253" s="105">
        <f>SUM(F253+K253)</f>
        <v>62530.57</v>
      </c>
      <c r="F253" s="105">
        <v>62530.57</v>
      </c>
      <c r="G253" s="270"/>
      <c r="H253" s="270"/>
      <c r="I253" s="270"/>
      <c r="J253" s="270"/>
      <c r="K253" s="270"/>
      <c r="L253" s="871">
        <f>SUM(E253/D253)</f>
        <v>0.6130448039215686</v>
      </c>
    </row>
    <row r="254" spans="1:12" ht="12">
      <c r="A254" s="84"/>
      <c r="B254" s="108">
        <v>85214</v>
      </c>
      <c r="C254" s="86" t="s">
        <v>311</v>
      </c>
      <c r="D254" s="105"/>
      <c r="E254" s="105"/>
      <c r="F254" s="270"/>
      <c r="G254" s="270"/>
      <c r="H254" s="270"/>
      <c r="I254" s="270"/>
      <c r="J254" s="270"/>
      <c r="K254" s="270"/>
      <c r="L254" s="871"/>
    </row>
    <row r="255" spans="1:12" ht="12">
      <c r="A255" s="84"/>
      <c r="B255" s="108"/>
      <c r="C255" s="86" t="s">
        <v>312</v>
      </c>
      <c r="D255" s="105">
        <v>959543</v>
      </c>
      <c r="E255" s="105">
        <f>SUM(F255+K255)</f>
        <v>630000</v>
      </c>
      <c r="F255" s="105">
        <v>630000</v>
      </c>
      <c r="G255" s="270"/>
      <c r="H255" s="270"/>
      <c r="I255" s="270"/>
      <c r="J255" s="270"/>
      <c r="K255" s="270"/>
      <c r="L255" s="871">
        <f>SUM(E255/D255)</f>
        <v>0.6565625511311114</v>
      </c>
    </row>
    <row r="256" spans="1:12" ht="12">
      <c r="A256" s="84"/>
      <c r="B256" s="108">
        <v>85228</v>
      </c>
      <c r="C256" s="86" t="s">
        <v>339</v>
      </c>
      <c r="D256" s="105"/>
      <c r="E256" s="105"/>
      <c r="F256" s="270"/>
      <c r="G256" s="270"/>
      <c r="H256" s="270"/>
      <c r="I256" s="270"/>
      <c r="J256" s="270"/>
      <c r="K256" s="270"/>
      <c r="L256" s="871"/>
    </row>
    <row r="257" spans="1:12" ht="12.75" thickBot="1">
      <c r="A257" s="89"/>
      <c r="B257" s="236"/>
      <c r="C257" s="90" t="s">
        <v>340</v>
      </c>
      <c r="D257" s="113">
        <v>126000</v>
      </c>
      <c r="E257" s="113">
        <f>SUM(F257+K257)</f>
        <v>79715</v>
      </c>
      <c r="F257" s="113">
        <v>79715</v>
      </c>
      <c r="G257" s="113"/>
      <c r="H257" s="113">
        <f>63900+13500+1440</f>
        <v>78840</v>
      </c>
      <c r="I257" s="271"/>
      <c r="J257" s="271"/>
      <c r="K257" s="271"/>
      <c r="L257" s="871">
        <f>SUM(E257/D257)</f>
        <v>0.6326587301587302</v>
      </c>
    </row>
    <row r="258" spans="1:12" ht="12">
      <c r="A258" s="91"/>
      <c r="B258" s="123"/>
      <c r="C258" s="92"/>
      <c r="D258" s="283"/>
      <c r="E258" s="130"/>
      <c r="F258" s="283"/>
      <c r="G258" s="283"/>
      <c r="H258" s="283"/>
      <c r="I258" s="283"/>
      <c r="J258" s="283"/>
      <c r="K258" s="283"/>
      <c r="L258" s="1114"/>
    </row>
    <row r="259" spans="1:13" s="1319" customFormat="1" ht="12.75">
      <c r="A259" s="1320"/>
      <c r="B259" s="1321"/>
      <c r="C259" s="1334" t="s">
        <v>203</v>
      </c>
      <c r="D259" s="1323">
        <f>SUM(D225+D235+D240+D244)+D229</f>
        <v>9948196.31</v>
      </c>
      <c r="E259" s="1323">
        <f aca="true" t="shared" si="51" ref="E259:K259">SUM(E225+E235+E240+E244)+E229</f>
        <v>6828519.79</v>
      </c>
      <c r="F259" s="1323">
        <f t="shared" si="51"/>
        <v>6828519.79</v>
      </c>
      <c r="G259" s="1323">
        <f t="shared" si="51"/>
        <v>129872</v>
      </c>
      <c r="H259" s="1323">
        <f t="shared" si="51"/>
        <v>490339.87</v>
      </c>
      <c r="I259" s="1323">
        <f t="shared" si="51"/>
        <v>0</v>
      </c>
      <c r="J259" s="1323">
        <f t="shared" si="51"/>
        <v>0</v>
      </c>
      <c r="K259" s="1323">
        <f t="shared" si="51"/>
        <v>0</v>
      </c>
      <c r="L259" s="1324">
        <f>SUM(E259/D259)</f>
        <v>0.6864078248170395</v>
      </c>
      <c r="M259" s="1318"/>
    </row>
    <row r="260" spans="1:13" ht="12.75" thickBot="1">
      <c r="A260" s="131"/>
      <c r="B260" s="134"/>
      <c r="C260" s="90"/>
      <c r="D260" s="271"/>
      <c r="E260" s="113"/>
      <c r="F260" s="271"/>
      <c r="G260" s="271"/>
      <c r="H260" s="271"/>
      <c r="I260" s="271"/>
      <c r="J260" s="271"/>
      <c r="K260" s="271"/>
      <c r="L260" s="1297"/>
      <c r="M260" s="121"/>
    </row>
    <row r="261" spans="1:13" ht="5.25" customHeight="1">
      <c r="A261" s="119"/>
      <c r="B261" s="119"/>
      <c r="C261" s="119"/>
      <c r="D261" s="278"/>
      <c r="E261" s="121"/>
      <c r="F261" s="278"/>
      <c r="G261" s="278"/>
      <c r="H261" s="278"/>
      <c r="I261" s="278"/>
      <c r="J261" s="278"/>
      <c r="K261" s="278"/>
      <c r="L261" s="121"/>
      <c r="M261" s="121"/>
    </row>
    <row r="262" spans="1:13" ht="15" customHeight="1">
      <c r="A262" s="119" t="s">
        <v>54</v>
      </c>
      <c r="C262" s="119"/>
      <c r="D262" s="278"/>
      <c r="E262" s="121"/>
      <c r="F262" s="278"/>
      <c r="G262" s="278"/>
      <c r="H262" s="278"/>
      <c r="I262" s="278"/>
      <c r="J262" s="278"/>
      <c r="K262" s="278"/>
      <c r="L262" s="121"/>
      <c r="M262" s="121"/>
    </row>
    <row r="263" spans="1:11" ht="39" customHeight="1">
      <c r="A263" s="1414" t="s">
        <v>408</v>
      </c>
      <c r="B263" s="1380"/>
      <c r="C263" s="1380"/>
      <c r="D263" s="1380"/>
      <c r="E263" s="1380"/>
      <c r="F263" s="1380"/>
      <c r="G263" s="1380"/>
      <c r="H263" s="1380"/>
      <c r="I263" s="1380"/>
      <c r="J263" s="1380"/>
      <c r="K263" s="1380"/>
    </row>
    <row r="264" spans="1:12" ht="12">
      <c r="A264" s="1381"/>
      <c r="B264" s="1381"/>
      <c r="C264" s="1381"/>
      <c r="D264" s="1381"/>
      <c r="E264" s="1381"/>
      <c r="F264" s="1381"/>
      <c r="G264" s="1381"/>
      <c r="H264" s="1381"/>
      <c r="I264" s="1381"/>
      <c r="J264" s="1381"/>
      <c r="K264" s="1381"/>
      <c r="L264" s="216"/>
    </row>
    <row r="265" spans="1:12" ht="12.75" thickBot="1">
      <c r="A265" s="125"/>
      <c r="B265" s="125"/>
      <c r="C265" s="125"/>
      <c r="D265" s="274"/>
      <c r="E265" s="222"/>
      <c r="F265" s="274"/>
      <c r="G265" s="274"/>
      <c r="H265" s="274"/>
      <c r="I265" s="274"/>
      <c r="J265" s="274"/>
      <c r="K265" s="274"/>
      <c r="L265" s="214" t="s">
        <v>57</v>
      </c>
    </row>
    <row r="266" spans="1:12" ht="12" customHeight="1">
      <c r="A266" s="1395" t="s">
        <v>58</v>
      </c>
      <c r="B266" s="1385" t="s">
        <v>84</v>
      </c>
      <c r="C266" s="1388" t="s">
        <v>86</v>
      </c>
      <c r="D266" s="1391" t="s">
        <v>60</v>
      </c>
      <c r="E266" s="1391" t="s">
        <v>341</v>
      </c>
      <c r="F266" s="1399" t="s">
        <v>61</v>
      </c>
      <c r="G266" s="1400"/>
      <c r="H266" s="1400"/>
      <c r="I266" s="1400"/>
      <c r="J266" s="1400"/>
      <c r="K266" s="1400"/>
      <c r="L266" s="1407" t="s">
        <v>632</v>
      </c>
    </row>
    <row r="267" spans="1:12" ht="12" customHeight="1">
      <c r="A267" s="1396"/>
      <c r="B267" s="1386"/>
      <c r="C267" s="1389"/>
      <c r="D267" s="1392"/>
      <c r="E267" s="1392"/>
      <c r="F267" s="1401" t="s">
        <v>257</v>
      </c>
      <c r="G267" s="1394" t="s">
        <v>258</v>
      </c>
      <c r="H267" s="1394"/>
      <c r="I267" s="1394"/>
      <c r="J267" s="1394"/>
      <c r="K267" s="1339" t="s">
        <v>259</v>
      </c>
      <c r="L267" s="1408"/>
    </row>
    <row r="268" spans="1:12" ht="36">
      <c r="A268" s="1397"/>
      <c r="B268" s="1387"/>
      <c r="C268" s="1390"/>
      <c r="D268" s="1393"/>
      <c r="E268" s="1393"/>
      <c r="F268" s="1393"/>
      <c r="G268" s="102" t="s">
        <v>260</v>
      </c>
      <c r="H268" s="102" t="s">
        <v>285</v>
      </c>
      <c r="I268" s="102" t="s">
        <v>262</v>
      </c>
      <c r="J268" s="102" t="s">
        <v>263</v>
      </c>
      <c r="K268" s="1379"/>
      <c r="L268" s="1409"/>
    </row>
    <row r="269" spans="1:12" ht="12.75" thickBot="1">
      <c r="A269" s="66">
        <v>1</v>
      </c>
      <c r="B269" s="1236">
        <v>2</v>
      </c>
      <c r="C269" s="67">
        <v>3</v>
      </c>
      <c r="D269" s="136">
        <v>4</v>
      </c>
      <c r="E269" s="136">
        <v>5</v>
      </c>
      <c r="F269" s="136">
        <v>6</v>
      </c>
      <c r="G269" s="136">
        <v>7</v>
      </c>
      <c r="H269" s="136">
        <v>8</v>
      </c>
      <c r="I269" s="136">
        <v>9</v>
      </c>
      <c r="J269" s="136">
        <v>10</v>
      </c>
      <c r="K269" s="136">
        <v>11</v>
      </c>
      <c r="L269" s="1300" t="s">
        <v>628</v>
      </c>
    </row>
    <row r="270" spans="1:12" ht="12">
      <c r="A270" s="84"/>
      <c r="B270" s="108"/>
      <c r="C270" s="86"/>
      <c r="D270" s="105"/>
      <c r="E270" s="105"/>
      <c r="F270" s="105"/>
      <c r="G270" s="105"/>
      <c r="H270" s="105"/>
      <c r="I270" s="105"/>
      <c r="J270" s="105"/>
      <c r="K270" s="105"/>
      <c r="L270" s="1296"/>
    </row>
    <row r="271" spans="1:12" ht="12">
      <c r="A271" s="84">
        <v>600</v>
      </c>
      <c r="B271" s="115"/>
      <c r="C271" s="88" t="s">
        <v>65</v>
      </c>
      <c r="D271" s="107">
        <f>SUM(D273:D274)</f>
        <v>2414500</v>
      </c>
      <c r="E271" s="107">
        <f aca="true" t="shared" si="52" ref="E271:K271">SUM(E273:E274)</f>
        <v>711819.59</v>
      </c>
      <c r="F271" s="107">
        <f t="shared" si="52"/>
        <v>700839.59</v>
      </c>
      <c r="G271" s="107">
        <f t="shared" si="52"/>
        <v>0</v>
      </c>
      <c r="H271" s="107">
        <f t="shared" si="52"/>
        <v>0</v>
      </c>
      <c r="I271" s="107">
        <f t="shared" si="52"/>
        <v>0</v>
      </c>
      <c r="J271" s="107">
        <f t="shared" si="52"/>
        <v>0</v>
      </c>
      <c r="K271" s="112">
        <f t="shared" si="52"/>
        <v>10980</v>
      </c>
      <c r="L271" s="931">
        <f>SUM(E271/D271)</f>
        <v>0.2948103499689377</v>
      </c>
    </row>
    <row r="272" spans="1:12" ht="12">
      <c r="A272" s="84"/>
      <c r="B272" s="234"/>
      <c r="C272" s="119"/>
      <c r="D272" s="288"/>
      <c r="E272" s="121"/>
      <c r="F272" s="277"/>
      <c r="G272" s="270"/>
      <c r="H272" s="270"/>
      <c r="I272" s="270"/>
      <c r="J272" s="270"/>
      <c r="K272" s="270"/>
      <c r="L272" s="871"/>
    </row>
    <row r="273" spans="1:12" ht="12">
      <c r="A273" s="84"/>
      <c r="B273" s="108">
        <v>60013</v>
      </c>
      <c r="C273" s="86" t="s">
        <v>214</v>
      </c>
      <c r="D273" s="105">
        <v>200000</v>
      </c>
      <c r="E273" s="105">
        <f>SUM(F273+K273)</f>
        <v>0</v>
      </c>
      <c r="F273" s="105"/>
      <c r="G273" s="105"/>
      <c r="H273" s="105"/>
      <c r="I273" s="105"/>
      <c r="J273" s="105"/>
      <c r="K273" s="105">
        <v>0</v>
      </c>
      <c r="L273" s="871">
        <f aca="true" t="shared" si="53" ref="L273:L278">SUM(E273/D273)</f>
        <v>0</v>
      </c>
    </row>
    <row r="274" spans="1:13" s="76" customFormat="1" ht="13.5" thickBot="1">
      <c r="A274" s="246"/>
      <c r="B274" s="1237">
        <v>60014</v>
      </c>
      <c r="C274" s="235" t="s">
        <v>215</v>
      </c>
      <c r="D274" s="539">
        <v>2214500</v>
      </c>
      <c r="E274" s="539">
        <f>SUM(F274+K274)</f>
        <v>711819.59</v>
      </c>
      <c r="F274" s="539">
        <f>711819.59-10980</f>
        <v>700839.59</v>
      </c>
      <c r="G274" s="539"/>
      <c r="H274" s="539"/>
      <c r="I274" s="539"/>
      <c r="J274" s="539"/>
      <c r="K274" s="111">
        <v>10980</v>
      </c>
      <c r="L274" s="1304">
        <f t="shared" si="53"/>
        <v>0.3214358049221043</v>
      </c>
      <c r="M274" s="212"/>
    </row>
    <row r="275" spans="1:13" s="76" customFormat="1" ht="39" customHeight="1" thickTop="1">
      <c r="A275" s="84">
        <v>853</v>
      </c>
      <c r="B275" s="1238"/>
      <c r="C275" s="1235" t="s">
        <v>602</v>
      </c>
      <c r="D275" s="519">
        <f aca="true" t="shared" si="54" ref="D275:K275">D276</f>
        <v>78900</v>
      </c>
      <c r="E275" s="519">
        <f t="shared" si="54"/>
        <v>68400</v>
      </c>
      <c r="F275" s="520">
        <f t="shared" si="54"/>
        <v>68400</v>
      </c>
      <c r="G275" s="520">
        <f t="shared" si="54"/>
        <v>68400</v>
      </c>
      <c r="H275" s="520">
        <f t="shared" si="54"/>
        <v>0</v>
      </c>
      <c r="I275" s="520">
        <f t="shared" si="54"/>
        <v>0</v>
      </c>
      <c r="J275" s="520">
        <f t="shared" si="54"/>
        <v>0</v>
      </c>
      <c r="K275" s="520">
        <f t="shared" si="54"/>
        <v>0</v>
      </c>
      <c r="L275" s="1306">
        <f t="shared" si="53"/>
        <v>0.8669201520912547</v>
      </c>
      <c r="M275" s="212"/>
    </row>
    <row r="276" spans="1:12" ht="21" customHeight="1" thickBot="1">
      <c r="A276" s="84"/>
      <c r="B276" s="108">
        <v>85395</v>
      </c>
      <c r="C276" s="86" t="s">
        <v>110</v>
      </c>
      <c r="D276" s="110">
        <v>78900</v>
      </c>
      <c r="E276" s="110">
        <f>SUM(F276+K276)</f>
        <v>68400</v>
      </c>
      <c r="F276" s="105">
        <v>68400</v>
      </c>
      <c r="G276" s="105">
        <v>68400</v>
      </c>
      <c r="H276" s="105">
        <v>0</v>
      </c>
      <c r="I276" s="270"/>
      <c r="J276" s="270"/>
      <c r="K276" s="270"/>
      <c r="L276" s="1307">
        <f t="shared" si="53"/>
        <v>0.8669201520912547</v>
      </c>
    </row>
    <row r="277" spans="1:12" ht="12">
      <c r="A277" s="91" t="s">
        <v>305</v>
      </c>
      <c r="B277" s="123"/>
      <c r="C277" s="133"/>
      <c r="D277" s="130"/>
      <c r="E277" s="130"/>
      <c r="F277" s="283"/>
      <c r="G277" s="283"/>
      <c r="H277" s="283"/>
      <c r="I277" s="283"/>
      <c r="J277" s="283"/>
      <c r="K277" s="283"/>
      <c r="L277" s="871"/>
    </row>
    <row r="278" spans="1:13" s="1319" customFormat="1" ht="13.5" customHeight="1">
      <c r="A278" s="1320"/>
      <c r="B278" s="1321"/>
      <c r="C278" s="1322" t="s">
        <v>203</v>
      </c>
      <c r="D278" s="1323">
        <f aca="true" t="shared" si="55" ref="D278:K278">SUM(D271)+D275</f>
        <v>2493400</v>
      </c>
      <c r="E278" s="1323">
        <f t="shared" si="55"/>
        <v>780219.59</v>
      </c>
      <c r="F278" s="1323">
        <f t="shared" si="55"/>
        <v>769239.59</v>
      </c>
      <c r="G278" s="1323">
        <f t="shared" si="55"/>
        <v>68400</v>
      </c>
      <c r="H278" s="1323">
        <f t="shared" si="55"/>
        <v>0</v>
      </c>
      <c r="I278" s="1323">
        <f t="shared" si="55"/>
        <v>0</v>
      </c>
      <c r="J278" s="1323">
        <f t="shared" si="55"/>
        <v>0</v>
      </c>
      <c r="K278" s="1323">
        <f t="shared" si="55"/>
        <v>10980</v>
      </c>
      <c r="L278" s="1324">
        <f t="shared" si="53"/>
        <v>0.31291392877195795</v>
      </c>
      <c r="M278" s="1318"/>
    </row>
    <row r="279" spans="1:12" ht="12.75" thickBot="1">
      <c r="A279" s="131"/>
      <c r="B279" s="134"/>
      <c r="C279" s="132"/>
      <c r="D279" s="271"/>
      <c r="E279" s="113"/>
      <c r="F279" s="271"/>
      <c r="G279" s="271"/>
      <c r="H279" s="271"/>
      <c r="I279" s="271"/>
      <c r="J279" s="271"/>
      <c r="K279" s="271"/>
      <c r="L279" s="1297"/>
    </row>
    <row r="280" ht="12.75" customHeight="1">
      <c r="L280" s="1305"/>
    </row>
    <row r="281" ht="12.75" customHeight="1">
      <c r="L281" s="1305"/>
    </row>
    <row r="282" spans="1:13" s="82" customFormat="1" ht="14.25">
      <c r="A282" s="1380" t="s">
        <v>409</v>
      </c>
      <c r="B282" s="1380"/>
      <c r="C282" s="1380"/>
      <c r="D282" s="1380"/>
      <c r="E282" s="1380"/>
      <c r="F282" s="1380"/>
      <c r="G282" s="1380"/>
      <c r="H282" s="1380"/>
      <c r="I282" s="1380"/>
      <c r="J282" s="1380"/>
      <c r="K282" s="1380"/>
      <c r="L282" s="135"/>
      <c r="M282" s="215"/>
    </row>
    <row r="283" spans="1:12" ht="12.75" customHeight="1">
      <c r="A283" s="1381"/>
      <c r="B283" s="1381"/>
      <c r="C283" s="1381"/>
      <c r="D283" s="1381"/>
      <c r="E283" s="1381"/>
      <c r="F283" s="1381"/>
      <c r="G283" s="1381"/>
      <c r="H283" s="1381"/>
      <c r="I283" s="1381"/>
      <c r="J283" s="1381"/>
      <c r="K283" s="1381"/>
      <c r="L283" s="216"/>
    </row>
    <row r="284" spans="1:12" ht="12.75" customHeight="1">
      <c r="A284" s="125"/>
      <c r="B284" s="125"/>
      <c r="C284" s="125"/>
      <c r="D284" s="274"/>
      <c r="E284" s="222"/>
      <c r="F284" s="274"/>
      <c r="G284" s="274"/>
      <c r="H284" s="274"/>
      <c r="I284" s="274"/>
      <c r="J284" s="274"/>
      <c r="K284" s="274"/>
      <c r="L284" s="216"/>
    </row>
    <row r="285" spans="1:12" ht="12.75" customHeight="1" thickBot="1">
      <c r="A285" s="81"/>
      <c r="B285" s="81"/>
      <c r="C285" s="81"/>
      <c r="D285" s="126"/>
      <c r="E285" s="126"/>
      <c r="F285" s="126"/>
      <c r="G285" s="126"/>
      <c r="H285" s="126"/>
      <c r="I285" s="126"/>
      <c r="J285" s="126"/>
      <c r="K285" s="214"/>
      <c r="L285" s="214" t="s">
        <v>57</v>
      </c>
    </row>
    <row r="286" spans="1:13" s="82" customFormat="1" ht="12.75" customHeight="1">
      <c r="A286" s="1382" t="s">
        <v>58</v>
      </c>
      <c r="B286" s="1385" t="s">
        <v>84</v>
      </c>
      <c r="C286" s="1388" t="s">
        <v>86</v>
      </c>
      <c r="D286" s="1391" t="s">
        <v>60</v>
      </c>
      <c r="E286" s="1391" t="s">
        <v>341</v>
      </c>
      <c r="F286" s="1399" t="s">
        <v>61</v>
      </c>
      <c r="G286" s="1400"/>
      <c r="H286" s="1400"/>
      <c r="I286" s="1400"/>
      <c r="J286" s="1400"/>
      <c r="K286" s="1400"/>
      <c r="L286" s="1407" t="s">
        <v>632</v>
      </c>
      <c r="M286" s="215"/>
    </row>
    <row r="287" spans="1:13" s="65" customFormat="1" ht="12" customHeight="1">
      <c r="A287" s="1383"/>
      <c r="B287" s="1386"/>
      <c r="C287" s="1389"/>
      <c r="D287" s="1392"/>
      <c r="E287" s="1392"/>
      <c r="F287" s="1401" t="s">
        <v>257</v>
      </c>
      <c r="G287" s="1394" t="s">
        <v>258</v>
      </c>
      <c r="H287" s="1394"/>
      <c r="I287" s="1394"/>
      <c r="J287" s="1394"/>
      <c r="K287" s="1339" t="s">
        <v>259</v>
      </c>
      <c r="L287" s="1408"/>
      <c r="M287" s="137"/>
    </row>
    <row r="288" spans="1:12" ht="36">
      <c r="A288" s="1384"/>
      <c r="B288" s="1387"/>
      <c r="C288" s="1390"/>
      <c r="D288" s="1393"/>
      <c r="E288" s="1393"/>
      <c r="F288" s="1393"/>
      <c r="G288" s="102" t="s">
        <v>260</v>
      </c>
      <c r="H288" s="102" t="s">
        <v>285</v>
      </c>
      <c r="I288" s="102" t="s">
        <v>262</v>
      </c>
      <c r="J288" s="102" t="s">
        <v>263</v>
      </c>
      <c r="K288" s="1379"/>
      <c r="L288" s="1409"/>
    </row>
    <row r="289" spans="1:12" ht="12.75" thickBot="1">
      <c r="A289" s="66">
        <v>1</v>
      </c>
      <c r="B289" s="68">
        <v>2</v>
      </c>
      <c r="C289" s="67">
        <v>3</v>
      </c>
      <c r="D289" s="136">
        <v>4</v>
      </c>
      <c r="E289" s="136">
        <v>5</v>
      </c>
      <c r="F289" s="136">
        <v>6</v>
      </c>
      <c r="G289" s="136">
        <v>7</v>
      </c>
      <c r="H289" s="136">
        <v>8</v>
      </c>
      <c r="I289" s="136">
        <v>9</v>
      </c>
      <c r="J289" s="136">
        <v>10</v>
      </c>
      <c r="K289" s="136">
        <v>11</v>
      </c>
      <c r="L289" s="1300" t="s">
        <v>628</v>
      </c>
    </row>
    <row r="290" spans="1:12" ht="12">
      <c r="A290" s="84"/>
      <c r="B290" s="85"/>
      <c r="C290" s="86"/>
      <c r="D290" s="105"/>
      <c r="E290" s="105"/>
      <c r="F290" s="105"/>
      <c r="G290" s="105"/>
      <c r="H290" s="105"/>
      <c r="I290" s="105"/>
      <c r="J290" s="105"/>
      <c r="K290" s="105"/>
      <c r="L290" s="1296"/>
    </row>
    <row r="291" spans="1:12" ht="12">
      <c r="A291" s="84">
        <v>600</v>
      </c>
      <c r="B291" s="87"/>
      <c r="C291" s="88" t="s">
        <v>65</v>
      </c>
      <c r="D291" s="112">
        <f aca="true" t="shared" si="56" ref="D291:K291">SUM(D293)</f>
        <v>700000</v>
      </c>
      <c r="E291" s="112">
        <f t="shared" si="56"/>
        <v>0</v>
      </c>
      <c r="F291" s="112">
        <f t="shared" si="56"/>
        <v>0</v>
      </c>
      <c r="G291" s="112">
        <f t="shared" si="56"/>
        <v>0</v>
      </c>
      <c r="H291" s="112">
        <f t="shared" si="56"/>
        <v>0</v>
      </c>
      <c r="I291" s="112">
        <f t="shared" si="56"/>
        <v>0</v>
      </c>
      <c r="J291" s="112">
        <f t="shared" si="56"/>
        <v>0</v>
      </c>
      <c r="K291" s="112">
        <f t="shared" si="56"/>
        <v>0</v>
      </c>
      <c r="L291" s="931">
        <f>SUM(E291/D291)</f>
        <v>0</v>
      </c>
    </row>
    <row r="292" spans="1:12" ht="12">
      <c r="A292" s="84"/>
      <c r="B292" s="234"/>
      <c r="C292" s="119"/>
      <c r="D292" s="270"/>
      <c r="E292" s="105"/>
      <c r="F292" s="270"/>
      <c r="G292" s="270"/>
      <c r="H292" s="270"/>
      <c r="I292" s="270"/>
      <c r="J292" s="270"/>
      <c r="K292" s="270"/>
      <c r="L292" s="871"/>
    </row>
    <row r="293" spans="1:13" s="76" customFormat="1" ht="13.5" thickBot="1">
      <c r="A293" s="89"/>
      <c r="B293" s="236">
        <v>60013</v>
      </c>
      <c r="C293" s="132" t="s">
        <v>214</v>
      </c>
      <c r="D293" s="113">
        <v>700000</v>
      </c>
      <c r="E293" s="113">
        <f>SUM(F293+K293)</f>
        <v>0</v>
      </c>
      <c r="F293" s="113">
        <v>0</v>
      </c>
      <c r="G293" s="113"/>
      <c r="H293" s="113"/>
      <c r="I293" s="113"/>
      <c r="J293" s="113"/>
      <c r="K293" s="113">
        <v>0</v>
      </c>
      <c r="L293" s="871">
        <f>SUM(E293/D293)</f>
        <v>0</v>
      </c>
      <c r="M293" s="212"/>
    </row>
    <row r="294" spans="1:12" ht="11.25" customHeight="1">
      <c r="A294" s="91" t="s">
        <v>305</v>
      </c>
      <c r="B294" s="123"/>
      <c r="C294" s="133"/>
      <c r="D294" s="283"/>
      <c r="E294" s="130"/>
      <c r="F294" s="283"/>
      <c r="G294" s="283"/>
      <c r="H294" s="283"/>
      <c r="I294" s="283"/>
      <c r="J294" s="283"/>
      <c r="K294" s="283"/>
      <c r="L294" s="1114"/>
    </row>
    <row r="295" spans="1:13" s="1319" customFormat="1" ht="12.75">
      <c r="A295" s="1320"/>
      <c r="B295" s="1321"/>
      <c r="C295" s="1322" t="s">
        <v>203</v>
      </c>
      <c r="D295" s="1323">
        <f aca="true" t="shared" si="57" ref="D295:K295">SUM(D291)</f>
        <v>700000</v>
      </c>
      <c r="E295" s="1323">
        <f t="shared" si="57"/>
        <v>0</v>
      </c>
      <c r="F295" s="1323">
        <f t="shared" si="57"/>
        <v>0</v>
      </c>
      <c r="G295" s="1323">
        <f t="shared" si="57"/>
        <v>0</v>
      </c>
      <c r="H295" s="1323">
        <f t="shared" si="57"/>
        <v>0</v>
      </c>
      <c r="I295" s="1323">
        <f t="shared" si="57"/>
        <v>0</v>
      </c>
      <c r="J295" s="1323">
        <f t="shared" si="57"/>
        <v>0</v>
      </c>
      <c r="K295" s="1323">
        <f t="shared" si="57"/>
        <v>0</v>
      </c>
      <c r="L295" s="1324">
        <f>SUM(E295/D295)</f>
        <v>0</v>
      </c>
      <c r="M295" s="1318"/>
    </row>
    <row r="296" spans="1:12" ht="12.75" customHeight="1" thickBot="1">
      <c r="A296" s="131"/>
      <c r="B296" s="134"/>
      <c r="C296" s="132"/>
      <c r="D296" s="271"/>
      <c r="E296" s="113"/>
      <c r="F296" s="271"/>
      <c r="G296" s="271"/>
      <c r="H296" s="271"/>
      <c r="I296" s="271"/>
      <c r="J296" s="271"/>
      <c r="K296" s="271"/>
      <c r="L296" s="1297"/>
    </row>
    <row r="297" ht="12.75" customHeight="1"/>
    <row r="298" ht="12.75" customHeight="1"/>
    <row r="299" spans="1:13" s="82" customFormat="1" ht="14.25">
      <c r="A299" s="1380" t="s">
        <v>410</v>
      </c>
      <c r="B299" s="1380"/>
      <c r="C299" s="1380"/>
      <c r="D299" s="1380"/>
      <c r="E299" s="1380"/>
      <c r="F299" s="1380"/>
      <c r="G299" s="1380"/>
      <c r="H299" s="1380"/>
      <c r="I299" s="1380"/>
      <c r="J299" s="1380"/>
      <c r="K299" s="1380"/>
      <c r="L299" s="135"/>
      <c r="M299" s="215"/>
    </row>
    <row r="300" spans="1:12" ht="12.75" customHeight="1">
      <c r="A300" s="1406" t="s">
        <v>407</v>
      </c>
      <c r="B300" s="1406"/>
      <c r="C300" s="1406"/>
      <c r="D300" s="1406"/>
      <c r="E300" s="1406"/>
      <c r="F300" s="1406"/>
      <c r="G300" s="1406"/>
      <c r="H300" s="1406"/>
      <c r="I300" s="1406"/>
      <c r="J300" s="1406"/>
      <c r="K300" s="1406"/>
      <c r="L300" s="216"/>
    </row>
    <row r="301" spans="1:12" ht="12.75" customHeight="1">
      <c r="A301" s="125"/>
      <c r="B301" s="125"/>
      <c r="C301" s="125"/>
      <c r="D301" s="274"/>
      <c r="E301" s="222"/>
      <c r="F301" s="274"/>
      <c r="G301" s="274"/>
      <c r="H301" s="274"/>
      <c r="I301" s="274"/>
      <c r="J301" s="274"/>
      <c r="K301" s="274"/>
      <c r="L301" s="216"/>
    </row>
    <row r="302" spans="1:12" ht="12.75" customHeight="1" thickBot="1">
      <c r="A302" s="81"/>
      <c r="B302" s="81"/>
      <c r="C302" s="81"/>
      <c r="D302" s="126"/>
      <c r="E302" s="126"/>
      <c r="F302" s="126"/>
      <c r="G302" s="126"/>
      <c r="H302" s="126"/>
      <c r="I302" s="126"/>
      <c r="J302" s="126"/>
      <c r="K302" s="214"/>
      <c r="L302" s="214" t="s">
        <v>57</v>
      </c>
    </row>
    <row r="303" spans="1:13" s="82" customFormat="1" ht="12.75" customHeight="1">
      <c r="A303" s="1382" t="s">
        <v>58</v>
      </c>
      <c r="B303" s="1385" t="s">
        <v>84</v>
      </c>
      <c r="C303" s="1388" t="s">
        <v>86</v>
      </c>
      <c r="D303" s="1391" t="s">
        <v>60</v>
      </c>
      <c r="E303" s="1391" t="s">
        <v>341</v>
      </c>
      <c r="F303" s="1399" t="s">
        <v>61</v>
      </c>
      <c r="G303" s="1400"/>
      <c r="H303" s="1400"/>
      <c r="I303" s="1400"/>
      <c r="J303" s="1400"/>
      <c r="K303" s="1400"/>
      <c r="L303" s="1407" t="s">
        <v>632</v>
      </c>
      <c r="M303" s="215"/>
    </row>
    <row r="304" spans="1:13" s="65" customFormat="1" ht="12" customHeight="1">
      <c r="A304" s="1383"/>
      <c r="B304" s="1386"/>
      <c r="C304" s="1389"/>
      <c r="D304" s="1392"/>
      <c r="E304" s="1392"/>
      <c r="F304" s="1401" t="s">
        <v>257</v>
      </c>
      <c r="G304" s="1394" t="s">
        <v>258</v>
      </c>
      <c r="H304" s="1394"/>
      <c r="I304" s="1394"/>
      <c r="J304" s="1394"/>
      <c r="K304" s="1339" t="s">
        <v>259</v>
      </c>
      <c r="L304" s="1408"/>
      <c r="M304" s="137"/>
    </row>
    <row r="305" spans="1:12" ht="36">
      <c r="A305" s="1384"/>
      <c r="B305" s="1387"/>
      <c r="C305" s="1390"/>
      <c r="D305" s="1393"/>
      <c r="E305" s="1393"/>
      <c r="F305" s="1393"/>
      <c r="G305" s="102" t="s">
        <v>260</v>
      </c>
      <c r="H305" s="102" t="s">
        <v>285</v>
      </c>
      <c r="I305" s="102" t="s">
        <v>262</v>
      </c>
      <c r="J305" s="102" t="s">
        <v>263</v>
      </c>
      <c r="K305" s="1379"/>
      <c r="L305" s="1409"/>
    </row>
    <row r="306" spans="1:12" ht="12.75" thickBot="1">
      <c r="A306" s="66">
        <v>1</v>
      </c>
      <c r="B306" s="68">
        <v>2</v>
      </c>
      <c r="C306" s="67">
        <v>3</v>
      </c>
      <c r="D306" s="136">
        <v>4</v>
      </c>
      <c r="E306" s="136">
        <v>5</v>
      </c>
      <c r="F306" s="136">
        <v>6</v>
      </c>
      <c r="G306" s="136">
        <v>7</v>
      </c>
      <c r="H306" s="136">
        <v>8</v>
      </c>
      <c r="I306" s="136">
        <v>9</v>
      </c>
      <c r="J306" s="136">
        <v>10</v>
      </c>
      <c r="K306" s="136">
        <v>11</v>
      </c>
      <c r="L306" s="1300" t="s">
        <v>628</v>
      </c>
    </row>
    <row r="307" spans="1:12" ht="12">
      <c r="A307" s="84"/>
      <c r="B307" s="85"/>
      <c r="C307" s="86"/>
      <c r="D307" s="105"/>
      <c r="E307" s="105"/>
      <c r="F307" s="105"/>
      <c r="G307" s="105"/>
      <c r="H307" s="105"/>
      <c r="I307" s="105"/>
      <c r="J307" s="105"/>
      <c r="K307" s="105"/>
      <c r="L307" s="106"/>
    </row>
    <row r="308" spans="1:13" s="119" customFormat="1" ht="12">
      <c r="A308" s="84"/>
      <c r="B308" s="85"/>
      <c r="C308" s="86" t="s">
        <v>278</v>
      </c>
      <c r="D308" s="105"/>
      <c r="E308" s="105"/>
      <c r="F308" s="105"/>
      <c r="G308" s="105"/>
      <c r="H308" s="105"/>
      <c r="I308" s="105"/>
      <c r="J308" s="105"/>
      <c r="K308" s="105"/>
      <c r="L308" s="106"/>
      <c r="M308" s="121"/>
    </row>
    <row r="309" spans="1:13" s="119" customFormat="1" ht="12">
      <c r="A309" s="84">
        <v>853</v>
      </c>
      <c r="B309" s="87"/>
      <c r="C309" s="88" t="s">
        <v>279</v>
      </c>
      <c r="D309" s="112">
        <f aca="true" t="shared" si="58" ref="D309:K309">SUM(D311:D311)</f>
        <v>670612</v>
      </c>
      <c r="E309" s="112">
        <f t="shared" si="58"/>
        <v>521768.3</v>
      </c>
      <c r="F309" s="112">
        <f t="shared" si="58"/>
        <v>521768.3</v>
      </c>
      <c r="G309" s="112">
        <f t="shared" si="58"/>
        <v>355366</v>
      </c>
      <c r="H309" s="112">
        <f t="shared" si="58"/>
        <v>75900.76</v>
      </c>
      <c r="I309" s="112">
        <f t="shared" si="58"/>
        <v>0</v>
      </c>
      <c r="J309" s="112">
        <f t="shared" si="58"/>
        <v>0</v>
      </c>
      <c r="K309" s="112">
        <f t="shared" si="58"/>
        <v>0</v>
      </c>
      <c r="L309" s="712">
        <f>E309/D309</f>
        <v>0.7780479621599374</v>
      </c>
      <c r="M309" s="121"/>
    </row>
    <row r="310" spans="1:12" ht="12">
      <c r="A310" s="84"/>
      <c r="B310" s="85"/>
      <c r="C310" s="86"/>
      <c r="D310" s="105"/>
      <c r="E310" s="105"/>
      <c r="F310" s="270"/>
      <c r="G310" s="270"/>
      <c r="H310" s="270"/>
      <c r="I310" s="270"/>
      <c r="J310" s="270"/>
      <c r="K310" s="270"/>
      <c r="L310" s="707"/>
    </row>
    <row r="311" spans="1:12" ht="12.75" thickBot="1">
      <c r="A311" s="84"/>
      <c r="B311" s="85">
        <v>85395</v>
      </c>
      <c r="C311" s="86" t="s">
        <v>110</v>
      </c>
      <c r="D311" s="110">
        <v>670612</v>
      </c>
      <c r="E311" s="110">
        <f>SUM(F311+K311)</f>
        <v>521768.3</v>
      </c>
      <c r="F311" s="105">
        <v>521768.3</v>
      </c>
      <c r="G311" s="105">
        <f>165375+9721+170255+10015</f>
        <v>355366</v>
      </c>
      <c r="H311" s="105">
        <f>44256.34+2605.48+6877.99+333.25+1060.74+62.43+19553.37+1151.16</f>
        <v>75900.76</v>
      </c>
      <c r="I311" s="270"/>
      <c r="J311" s="270"/>
      <c r="K311" s="270"/>
      <c r="L311" s="707">
        <f>E311/D311</f>
        <v>0.7780479621599374</v>
      </c>
    </row>
    <row r="312" spans="1:12" ht="12">
      <c r="A312" s="91" t="s">
        <v>305</v>
      </c>
      <c r="B312" s="123"/>
      <c r="C312" s="133"/>
      <c r="D312" s="283"/>
      <c r="E312" s="130"/>
      <c r="F312" s="283"/>
      <c r="G312" s="283"/>
      <c r="H312" s="283"/>
      <c r="I312" s="283"/>
      <c r="J312" s="283"/>
      <c r="K312" s="283"/>
      <c r="L312" s="1308"/>
    </row>
    <row r="313" spans="1:13" s="1319" customFormat="1" ht="12.75">
      <c r="A313" s="1320"/>
      <c r="B313" s="1321"/>
      <c r="C313" s="1322" t="s">
        <v>203</v>
      </c>
      <c r="D313" s="1323">
        <f>SUM(D309)</f>
        <v>670612</v>
      </c>
      <c r="E313" s="1323">
        <f aca="true" t="shared" si="59" ref="E313:K313">SUM(E309)</f>
        <v>521768.3</v>
      </c>
      <c r="F313" s="1323">
        <f t="shared" si="59"/>
        <v>521768.3</v>
      </c>
      <c r="G313" s="1323">
        <f t="shared" si="59"/>
        <v>355366</v>
      </c>
      <c r="H313" s="1323">
        <f t="shared" si="59"/>
        <v>75900.76</v>
      </c>
      <c r="I313" s="1323">
        <f t="shared" si="59"/>
        <v>0</v>
      </c>
      <c r="J313" s="1323">
        <f t="shared" si="59"/>
        <v>0</v>
      </c>
      <c r="K313" s="1323">
        <f t="shared" si="59"/>
        <v>0</v>
      </c>
      <c r="L313" s="1324">
        <f>E313/D313</f>
        <v>0.7780479621599374</v>
      </c>
      <c r="M313" s="1318"/>
    </row>
    <row r="314" spans="1:12" ht="12.75" customHeight="1" thickBot="1">
      <c r="A314" s="131"/>
      <c r="B314" s="134"/>
      <c r="C314" s="132"/>
      <c r="D314" s="271"/>
      <c r="E314" s="113"/>
      <c r="F314" s="271"/>
      <c r="G314" s="271"/>
      <c r="H314" s="271"/>
      <c r="I314" s="271"/>
      <c r="J314" s="271"/>
      <c r="K314" s="271"/>
      <c r="L314" s="717"/>
    </row>
    <row r="316" spans="1:13" s="82" customFormat="1" ht="15">
      <c r="A316" s="1380" t="s">
        <v>411</v>
      </c>
      <c r="B316" s="1380"/>
      <c r="C316" s="1380"/>
      <c r="D316" s="1380"/>
      <c r="E316" s="1380"/>
      <c r="F316" s="1380"/>
      <c r="G316" s="1380"/>
      <c r="H316" s="1380"/>
      <c r="I316" s="1380"/>
      <c r="J316" s="1380"/>
      <c r="K316" s="1380"/>
      <c r="L316" s="135"/>
      <c r="M316" s="215"/>
    </row>
    <row r="317" spans="1:12" ht="12.75" customHeight="1">
      <c r="A317" s="1381"/>
      <c r="B317" s="1381"/>
      <c r="C317" s="1381"/>
      <c r="D317" s="1381"/>
      <c r="E317" s="1381"/>
      <c r="F317" s="1381"/>
      <c r="G317" s="1381"/>
      <c r="H317" s="1381"/>
      <c r="I317" s="1381"/>
      <c r="J317" s="1381"/>
      <c r="K317" s="1381"/>
      <c r="L317" s="216"/>
    </row>
    <row r="318" spans="1:12" ht="12.75" customHeight="1" thickBot="1">
      <c r="A318" s="125"/>
      <c r="B318" s="125"/>
      <c r="C318" s="125"/>
      <c r="D318" s="274"/>
      <c r="E318" s="222"/>
      <c r="F318" s="274"/>
      <c r="G318" s="274"/>
      <c r="H318" s="274"/>
      <c r="I318" s="274"/>
      <c r="J318" s="274"/>
      <c r="K318" s="274"/>
      <c r="L318" s="214" t="s">
        <v>57</v>
      </c>
    </row>
    <row r="319" spans="1:13" s="82" customFormat="1" ht="12.75" customHeight="1">
      <c r="A319" s="1382" t="s">
        <v>58</v>
      </c>
      <c r="B319" s="1385" t="s">
        <v>84</v>
      </c>
      <c r="C319" s="1388" t="s">
        <v>86</v>
      </c>
      <c r="D319" s="1391" t="s">
        <v>60</v>
      </c>
      <c r="E319" s="1391" t="s">
        <v>341</v>
      </c>
      <c r="F319" s="1399" t="s">
        <v>61</v>
      </c>
      <c r="G319" s="1400"/>
      <c r="H319" s="1400"/>
      <c r="I319" s="1400"/>
      <c r="J319" s="1400"/>
      <c r="K319" s="1400"/>
      <c r="L319" s="1407" t="s">
        <v>632</v>
      </c>
      <c r="M319" s="215"/>
    </row>
    <row r="320" spans="1:13" s="65" customFormat="1" ht="12" customHeight="1">
      <c r="A320" s="1383"/>
      <c r="B320" s="1386"/>
      <c r="C320" s="1389"/>
      <c r="D320" s="1392"/>
      <c r="E320" s="1392"/>
      <c r="F320" s="1401" t="s">
        <v>257</v>
      </c>
      <c r="G320" s="1394" t="s">
        <v>258</v>
      </c>
      <c r="H320" s="1394"/>
      <c r="I320" s="1394"/>
      <c r="J320" s="1394"/>
      <c r="K320" s="1339" t="s">
        <v>259</v>
      </c>
      <c r="L320" s="1408"/>
      <c r="M320" s="137"/>
    </row>
    <row r="321" spans="1:12" ht="36">
      <c r="A321" s="1384"/>
      <c r="B321" s="1387"/>
      <c r="C321" s="1390"/>
      <c r="D321" s="1393"/>
      <c r="E321" s="1393"/>
      <c r="F321" s="1393"/>
      <c r="G321" s="102" t="s">
        <v>260</v>
      </c>
      <c r="H321" s="102" t="s">
        <v>285</v>
      </c>
      <c r="I321" s="102" t="s">
        <v>262</v>
      </c>
      <c r="J321" s="102" t="s">
        <v>263</v>
      </c>
      <c r="K321" s="1379"/>
      <c r="L321" s="1409"/>
    </row>
    <row r="322" spans="1:12" ht="12.75" thickBot="1">
      <c r="A322" s="66">
        <v>1</v>
      </c>
      <c r="B322" s="68">
        <v>2</v>
      </c>
      <c r="C322" s="67">
        <v>3</v>
      </c>
      <c r="D322" s="136">
        <v>4</v>
      </c>
      <c r="E322" s="136">
        <v>5</v>
      </c>
      <c r="F322" s="136">
        <v>6</v>
      </c>
      <c r="G322" s="136">
        <v>7</v>
      </c>
      <c r="H322" s="136">
        <v>8</v>
      </c>
      <c r="I322" s="136">
        <v>9</v>
      </c>
      <c r="J322" s="136">
        <v>10</v>
      </c>
      <c r="K322" s="136">
        <v>11</v>
      </c>
      <c r="L322" s="1300" t="s">
        <v>628</v>
      </c>
    </row>
    <row r="323" spans="1:12" ht="12">
      <c r="A323" s="84"/>
      <c r="B323" s="85"/>
      <c r="C323" s="86"/>
      <c r="D323" s="105"/>
      <c r="E323" s="105"/>
      <c r="F323" s="105"/>
      <c r="G323" s="105"/>
      <c r="H323" s="105"/>
      <c r="I323" s="105"/>
      <c r="J323" s="105"/>
      <c r="K323" s="105"/>
      <c r="L323" s="106"/>
    </row>
    <row r="324" spans="1:13" s="119" customFormat="1" ht="12">
      <c r="A324" s="84"/>
      <c r="B324" s="85"/>
      <c r="C324" s="86"/>
      <c r="D324" s="105"/>
      <c r="E324" s="105"/>
      <c r="F324" s="105"/>
      <c r="G324" s="105"/>
      <c r="H324" s="105"/>
      <c r="I324" s="105"/>
      <c r="J324" s="105"/>
      <c r="K324" s="105"/>
      <c r="L324" s="106"/>
      <c r="M324" s="121"/>
    </row>
    <row r="325" spans="1:13" s="119" customFormat="1" ht="12">
      <c r="A325" s="84">
        <v>926</v>
      </c>
      <c r="B325" s="87"/>
      <c r="C325" s="88" t="s">
        <v>82</v>
      </c>
      <c r="D325" s="112">
        <f aca="true" t="shared" si="60" ref="D325:K325">SUM(D327:D327)</f>
        <v>30000</v>
      </c>
      <c r="E325" s="112">
        <f t="shared" si="60"/>
        <v>0</v>
      </c>
      <c r="F325" s="112">
        <f t="shared" si="60"/>
        <v>0</v>
      </c>
      <c r="G325" s="112">
        <f t="shared" si="60"/>
        <v>0</v>
      </c>
      <c r="H325" s="112">
        <f t="shared" si="60"/>
        <v>0</v>
      </c>
      <c r="I325" s="112">
        <f t="shared" si="60"/>
        <v>0</v>
      </c>
      <c r="J325" s="112">
        <f t="shared" si="60"/>
        <v>0</v>
      </c>
      <c r="K325" s="112">
        <f t="shared" si="60"/>
        <v>0</v>
      </c>
      <c r="L325" s="712">
        <f>E325/D325</f>
        <v>0</v>
      </c>
      <c r="M325" s="121"/>
    </row>
    <row r="326" spans="1:12" ht="12">
      <c r="A326" s="84"/>
      <c r="B326" s="85"/>
      <c r="C326" s="86"/>
      <c r="D326" s="270"/>
      <c r="E326" s="105"/>
      <c r="F326" s="105"/>
      <c r="G326" s="105"/>
      <c r="H326" s="105"/>
      <c r="I326" s="270"/>
      <c r="J326" s="270"/>
      <c r="K326" s="270"/>
      <c r="L326" s="707"/>
    </row>
    <row r="327" spans="1:12" ht="12.75" thickBot="1">
      <c r="A327" s="84"/>
      <c r="B327" s="85">
        <v>92601</v>
      </c>
      <c r="C327" s="86" t="s">
        <v>363</v>
      </c>
      <c r="D327" s="110">
        <v>30000</v>
      </c>
      <c r="E327" s="110">
        <f>SUM(F327+K327)</f>
        <v>0</v>
      </c>
      <c r="F327" s="105">
        <v>0</v>
      </c>
      <c r="G327" s="105">
        <v>0</v>
      </c>
      <c r="H327" s="105">
        <v>0</v>
      </c>
      <c r="I327" s="270"/>
      <c r="J327" s="270"/>
      <c r="K327" s="270"/>
      <c r="L327" s="707">
        <f>E327/D327</f>
        <v>0</v>
      </c>
    </row>
    <row r="328" spans="1:12" ht="12">
      <c r="A328" s="91" t="s">
        <v>305</v>
      </c>
      <c r="B328" s="123"/>
      <c r="C328" s="133"/>
      <c r="D328" s="283"/>
      <c r="E328" s="130"/>
      <c r="F328" s="283"/>
      <c r="G328" s="283"/>
      <c r="H328" s="283"/>
      <c r="I328" s="283"/>
      <c r="J328" s="283"/>
      <c r="K328" s="283"/>
      <c r="L328" s="1308"/>
    </row>
    <row r="329" spans="1:13" s="1319" customFormat="1" ht="12.75">
      <c r="A329" s="1320"/>
      <c r="B329" s="1321"/>
      <c r="C329" s="1322" t="s">
        <v>203</v>
      </c>
      <c r="D329" s="1323">
        <f>SUM(D325)</f>
        <v>30000</v>
      </c>
      <c r="E329" s="1323">
        <f aca="true" t="shared" si="61" ref="E329:K329">SUM(E325)</f>
        <v>0</v>
      </c>
      <c r="F329" s="1323">
        <f t="shared" si="61"/>
        <v>0</v>
      </c>
      <c r="G329" s="1323">
        <f t="shared" si="61"/>
        <v>0</v>
      </c>
      <c r="H329" s="1323">
        <f t="shared" si="61"/>
        <v>0</v>
      </c>
      <c r="I329" s="1323">
        <f t="shared" si="61"/>
        <v>0</v>
      </c>
      <c r="J329" s="1323">
        <f t="shared" si="61"/>
        <v>0</v>
      </c>
      <c r="K329" s="1323">
        <f t="shared" si="61"/>
        <v>0</v>
      </c>
      <c r="L329" s="1324">
        <f>E329/D329</f>
        <v>0</v>
      </c>
      <c r="M329" s="1318"/>
    </row>
    <row r="330" spans="1:12" ht="12.75" customHeight="1" thickBot="1">
      <c r="A330" s="131"/>
      <c r="B330" s="134"/>
      <c r="C330" s="132"/>
      <c r="D330" s="271"/>
      <c r="E330" s="113"/>
      <c r="F330" s="271"/>
      <c r="G330" s="271"/>
      <c r="H330" s="271"/>
      <c r="I330" s="271"/>
      <c r="J330" s="271"/>
      <c r="K330" s="271"/>
      <c r="L330" s="717"/>
    </row>
    <row r="332" spans="1:10" ht="15" customHeight="1">
      <c r="A332" s="1344" t="s">
        <v>412</v>
      </c>
      <c r="B332" s="1344"/>
      <c r="C332" s="1344"/>
      <c r="D332" s="1344"/>
      <c r="E332" s="1344"/>
      <c r="F332" s="1344"/>
      <c r="G332" s="1344"/>
      <c r="H332" s="1344"/>
      <c r="I332" s="1344"/>
      <c r="J332" s="1344"/>
    </row>
    <row r="333" spans="1:10" ht="15">
      <c r="A333" s="1239" t="s">
        <v>407</v>
      </c>
      <c r="C333" s="1239"/>
      <c r="D333" s="1239"/>
      <c r="E333" s="1239"/>
      <c r="F333" s="1239"/>
      <c r="G333" s="1239"/>
      <c r="H333" s="1239"/>
      <c r="I333" s="1406"/>
      <c r="J333" s="1406"/>
    </row>
    <row r="334" spans="2:12" ht="15" customHeight="1" thickBot="1">
      <c r="B334" s="47"/>
      <c r="C334" s="48"/>
      <c r="D334" s="1"/>
      <c r="E334" s="545"/>
      <c r="F334" s="289"/>
      <c r="G334" s="264"/>
      <c r="H334" s="263"/>
      <c r="I334" s="262"/>
      <c r="J334" s="172"/>
      <c r="L334" s="214" t="s">
        <v>57</v>
      </c>
    </row>
    <row r="335" spans="1:13" s="82" customFormat="1" ht="12.75" customHeight="1">
      <c r="A335" s="1382" t="s">
        <v>58</v>
      </c>
      <c r="B335" s="1385" t="s">
        <v>84</v>
      </c>
      <c r="C335" s="1388" t="s">
        <v>86</v>
      </c>
      <c r="D335" s="1391" t="s">
        <v>60</v>
      </c>
      <c r="E335" s="1391" t="s">
        <v>341</v>
      </c>
      <c r="F335" s="1399" t="s">
        <v>61</v>
      </c>
      <c r="G335" s="1400"/>
      <c r="H335" s="1400"/>
      <c r="I335" s="1400"/>
      <c r="J335" s="1400"/>
      <c r="K335" s="1400"/>
      <c r="L335" s="1407" t="s">
        <v>632</v>
      </c>
      <c r="M335" s="215"/>
    </row>
    <row r="336" spans="1:13" s="65" customFormat="1" ht="12" customHeight="1">
      <c r="A336" s="1383"/>
      <c r="B336" s="1386"/>
      <c r="C336" s="1389"/>
      <c r="D336" s="1392"/>
      <c r="E336" s="1392"/>
      <c r="F336" s="1401" t="s">
        <v>257</v>
      </c>
      <c r="G336" s="1394" t="s">
        <v>258</v>
      </c>
      <c r="H336" s="1394"/>
      <c r="I336" s="1394"/>
      <c r="J336" s="1394"/>
      <c r="K336" s="1339" t="s">
        <v>259</v>
      </c>
      <c r="L336" s="1408"/>
      <c r="M336" s="137"/>
    </row>
    <row r="337" spans="1:12" ht="36">
      <c r="A337" s="1384"/>
      <c r="B337" s="1387"/>
      <c r="C337" s="1390"/>
      <c r="D337" s="1393"/>
      <c r="E337" s="1393"/>
      <c r="F337" s="1393"/>
      <c r="G337" s="102" t="s">
        <v>260</v>
      </c>
      <c r="H337" s="102" t="s">
        <v>285</v>
      </c>
      <c r="I337" s="102" t="s">
        <v>262</v>
      </c>
      <c r="J337" s="102" t="s">
        <v>263</v>
      </c>
      <c r="K337" s="1379"/>
      <c r="L337" s="1409"/>
    </row>
    <row r="338" spans="1:12" ht="12.75" thickBot="1">
      <c r="A338" s="66">
        <v>1</v>
      </c>
      <c r="B338" s="68">
        <v>2</v>
      </c>
      <c r="C338" s="67">
        <v>3</v>
      </c>
      <c r="D338" s="136">
        <v>4</v>
      </c>
      <c r="E338" s="136">
        <v>5</v>
      </c>
      <c r="F338" s="136">
        <v>6</v>
      </c>
      <c r="G338" s="136">
        <v>7</v>
      </c>
      <c r="H338" s="136">
        <v>8</v>
      </c>
      <c r="I338" s="136">
        <v>9</v>
      </c>
      <c r="J338" s="136">
        <v>10</v>
      </c>
      <c r="K338" s="136">
        <v>11</v>
      </c>
      <c r="L338" s="1300" t="s">
        <v>628</v>
      </c>
    </row>
    <row r="339" spans="1:12" ht="12">
      <c r="A339" s="84"/>
      <c r="B339" s="85"/>
      <c r="C339" s="86"/>
      <c r="D339" s="105"/>
      <c r="E339" s="105"/>
      <c r="F339" s="105"/>
      <c r="G339" s="105"/>
      <c r="H339" s="105"/>
      <c r="I339" s="105"/>
      <c r="J339" s="105"/>
      <c r="K339" s="105"/>
      <c r="L339" s="106"/>
    </row>
    <row r="340" spans="1:13" s="119" customFormat="1" ht="12">
      <c r="A340" s="84"/>
      <c r="B340" s="85"/>
      <c r="C340" s="86"/>
      <c r="D340" s="105"/>
      <c r="E340" s="105"/>
      <c r="F340" s="105"/>
      <c r="G340" s="105"/>
      <c r="H340" s="105"/>
      <c r="I340" s="105"/>
      <c r="J340" s="105"/>
      <c r="K340" s="105"/>
      <c r="L340" s="106"/>
      <c r="M340" s="121"/>
    </row>
    <row r="341" spans="1:13" s="119" customFormat="1" ht="12">
      <c r="A341" s="84">
        <v>852</v>
      </c>
      <c r="B341" s="87"/>
      <c r="C341" s="88" t="s">
        <v>78</v>
      </c>
      <c r="D341" s="112">
        <f aca="true" t="shared" si="62" ref="D341:K341">SUM(D343:D343)</f>
        <v>29231</v>
      </c>
      <c r="E341" s="112">
        <f t="shared" si="62"/>
        <v>2600</v>
      </c>
      <c r="F341" s="112">
        <f t="shared" si="62"/>
        <v>2600</v>
      </c>
      <c r="G341" s="112">
        <f t="shared" si="62"/>
        <v>0</v>
      </c>
      <c r="H341" s="112">
        <f t="shared" si="62"/>
        <v>0</v>
      </c>
      <c r="I341" s="112">
        <f t="shared" si="62"/>
        <v>0</v>
      </c>
      <c r="J341" s="112">
        <f t="shared" si="62"/>
        <v>0</v>
      </c>
      <c r="K341" s="112">
        <f t="shared" si="62"/>
        <v>0</v>
      </c>
      <c r="L341" s="712">
        <f>E341/D341</f>
        <v>0.08894666621052992</v>
      </c>
      <c r="M341" s="121"/>
    </row>
    <row r="342" spans="1:12" ht="12">
      <c r="A342" s="84"/>
      <c r="B342" s="85"/>
      <c r="C342" s="86"/>
      <c r="D342" s="270"/>
      <c r="E342" s="105"/>
      <c r="F342" s="105"/>
      <c r="G342" s="105"/>
      <c r="H342" s="105"/>
      <c r="I342" s="270"/>
      <c r="J342" s="270"/>
      <c r="K342" s="270"/>
      <c r="L342" s="707"/>
    </row>
    <row r="343" spans="1:12" ht="12.75" thickBot="1">
      <c r="A343" s="84"/>
      <c r="B343" s="85">
        <v>85295</v>
      </c>
      <c r="C343" s="86" t="s">
        <v>387</v>
      </c>
      <c r="D343" s="110">
        <v>29231</v>
      </c>
      <c r="E343" s="110">
        <f>SUM(F343+K343)</f>
        <v>2600</v>
      </c>
      <c r="F343" s="105">
        <v>2600</v>
      </c>
      <c r="G343" s="105">
        <v>0</v>
      </c>
      <c r="H343" s="105">
        <v>0</v>
      </c>
      <c r="I343" s="270"/>
      <c r="J343" s="270"/>
      <c r="K343" s="270"/>
      <c r="L343" s="707">
        <f>E343/D343</f>
        <v>0.08894666621052992</v>
      </c>
    </row>
    <row r="344" spans="1:13" s="1319" customFormat="1" ht="12">
      <c r="A344" s="1313" t="s">
        <v>305</v>
      </c>
      <c r="B344" s="1314"/>
      <c r="C344" s="1315"/>
      <c r="D344" s="1316"/>
      <c r="E344" s="1317"/>
      <c r="F344" s="1316"/>
      <c r="G344" s="1316"/>
      <c r="H344" s="1316"/>
      <c r="I344" s="1316"/>
      <c r="J344" s="1316"/>
      <c r="K344" s="1316"/>
      <c r="L344" s="1417">
        <f>E345/D345</f>
        <v>0.08894666621052992</v>
      </c>
      <c r="M344" s="1318"/>
    </row>
    <row r="345" spans="1:13" s="1319" customFormat="1" ht="12.75">
      <c r="A345" s="1320"/>
      <c r="B345" s="1321"/>
      <c r="C345" s="1322" t="s">
        <v>203</v>
      </c>
      <c r="D345" s="1323">
        <f>SUM(D341)</f>
        <v>29231</v>
      </c>
      <c r="E345" s="1323">
        <f aca="true" t="shared" si="63" ref="E345:K345">SUM(E341)</f>
        <v>2600</v>
      </c>
      <c r="F345" s="1323">
        <f t="shared" si="63"/>
        <v>2600</v>
      </c>
      <c r="G345" s="1323">
        <f t="shared" si="63"/>
        <v>0</v>
      </c>
      <c r="H345" s="1323">
        <f t="shared" si="63"/>
        <v>0</v>
      </c>
      <c r="I345" s="1323">
        <f t="shared" si="63"/>
        <v>0</v>
      </c>
      <c r="J345" s="1323">
        <f t="shared" si="63"/>
        <v>0</v>
      </c>
      <c r="K345" s="1323">
        <f t="shared" si="63"/>
        <v>0</v>
      </c>
      <c r="L345" s="1418"/>
      <c r="M345" s="1318"/>
    </row>
    <row r="346" spans="1:13" s="1319" customFormat="1" ht="12.75" customHeight="1" thickBot="1">
      <c r="A346" s="1325"/>
      <c r="B346" s="1326"/>
      <c r="C346" s="1327"/>
      <c r="D346" s="1328"/>
      <c r="E346" s="1329"/>
      <c r="F346" s="1328"/>
      <c r="G346" s="1328"/>
      <c r="H346" s="1328"/>
      <c r="I346" s="1328"/>
      <c r="J346" s="1328"/>
      <c r="K346" s="1328"/>
      <c r="L346" s="1419"/>
      <c r="M346" s="1318"/>
    </row>
    <row r="348" ht="12">
      <c r="E348" s="268"/>
    </row>
  </sheetData>
  <mergeCells count="108">
    <mergeCell ref="B59:B60"/>
    <mergeCell ref="L344:L346"/>
    <mergeCell ref="D59:D60"/>
    <mergeCell ref="C59:C60"/>
    <mergeCell ref="E59:E60"/>
    <mergeCell ref="F59:F60"/>
    <mergeCell ref="G59:G60"/>
    <mergeCell ref="H59:H60"/>
    <mergeCell ref="I59:I60"/>
    <mergeCell ref="J59:J60"/>
    <mergeCell ref="A282:K282"/>
    <mergeCell ref="A263:K263"/>
    <mergeCell ref="F286:K286"/>
    <mergeCell ref="F287:F288"/>
    <mergeCell ref="L335:L337"/>
    <mergeCell ref="L4:L6"/>
    <mergeCell ref="L66:L68"/>
    <mergeCell ref="L220:L222"/>
    <mergeCell ref="L266:L268"/>
    <mergeCell ref="L59:L60"/>
    <mergeCell ref="L286:L288"/>
    <mergeCell ref="L303:L305"/>
    <mergeCell ref="L319:L321"/>
    <mergeCell ref="A299:K299"/>
    <mergeCell ref="A303:A305"/>
    <mergeCell ref="B303:B305"/>
    <mergeCell ref="C303:C305"/>
    <mergeCell ref="D303:D305"/>
    <mergeCell ref="A300:G300"/>
    <mergeCell ref="H300:K300"/>
    <mergeCell ref="I333:J333"/>
    <mergeCell ref="K304:K305"/>
    <mergeCell ref="F319:K319"/>
    <mergeCell ref="F320:F321"/>
    <mergeCell ref="E335:E337"/>
    <mergeCell ref="F335:K335"/>
    <mergeCell ref="F336:F337"/>
    <mergeCell ref="G336:J336"/>
    <mergeCell ref="K336:K337"/>
    <mergeCell ref="A335:A337"/>
    <mergeCell ref="B335:B337"/>
    <mergeCell ref="C335:C337"/>
    <mergeCell ref="D335:D337"/>
    <mergeCell ref="E303:E305"/>
    <mergeCell ref="F303:K303"/>
    <mergeCell ref="F304:F305"/>
    <mergeCell ref="G304:J304"/>
    <mergeCell ref="B4:B6"/>
    <mergeCell ref="C4:C6"/>
    <mergeCell ref="E4:E6"/>
    <mergeCell ref="E66:E68"/>
    <mergeCell ref="A64:K64"/>
    <mergeCell ref="F67:F68"/>
    <mergeCell ref="A66:A68"/>
    <mergeCell ref="B66:B68"/>
    <mergeCell ref="C66:C68"/>
    <mergeCell ref="G5:J5"/>
    <mergeCell ref="F5:F6"/>
    <mergeCell ref="D4:D6"/>
    <mergeCell ref="F4:K4"/>
    <mergeCell ref="F66:K66"/>
    <mergeCell ref="K59:K60"/>
    <mergeCell ref="G221:J221"/>
    <mergeCell ref="A216:K216"/>
    <mergeCell ref="D66:D68"/>
    <mergeCell ref="K67:K68"/>
    <mergeCell ref="G67:J67"/>
    <mergeCell ref="B217:H217"/>
    <mergeCell ref="F220:K220"/>
    <mergeCell ref="F221:F222"/>
    <mergeCell ref="A2:K2"/>
    <mergeCell ref="B266:B268"/>
    <mergeCell ref="C266:C268"/>
    <mergeCell ref="D266:D268"/>
    <mergeCell ref="F266:K266"/>
    <mergeCell ref="F267:F268"/>
    <mergeCell ref="G267:J267"/>
    <mergeCell ref="K267:K268"/>
    <mergeCell ref="B286:B288"/>
    <mergeCell ref="E286:E288"/>
    <mergeCell ref="A1:K1"/>
    <mergeCell ref="A63:K63"/>
    <mergeCell ref="A264:K264"/>
    <mergeCell ref="A220:A222"/>
    <mergeCell ref="B220:B222"/>
    <mergeCell ref="C220:C222"/>
    <mergeCell ref="D220:D222"/>
    <mergeCell ref="K5:K6"/>
    <mergeCell ref="E220:E222"/>
    <mergeCell ref="E266:E268"/>
    <mergeCell ref="A283:K283"/>
    <mergeCell ref="C286:C288"/>
    <mergeCell ref="D286:D288"/>
    <mergeCell ref="A266:A268"/>
    <mergeCell ref="K221:K222"/>
    <mergeCell ref="G287:J287"/>
    <mergeCell ref="K287:K288"/>
    <mergeCell ref="A286:A288"/>
    <mergeCell ref="A332:J332"/>
    <mergeCell ref="K320:K321"/>
    <mergeCell ref="A316:K316"/>
    <mergeCell ref="A317:K317"/>
    <mergeCell ref="A319:A321"/>
    <mergeCell ref="B319:B321"/>
    <mergeCell ref="C319:C321"/>
    <mergeCell ref="D319:D321"/>
    <mergeCell ref="G320:J320"/>
    <mergeCell ref="E319:E321"/>
  </mergeCells>
  <printOptions horizontalCentered="1"/>
  <pageMargins left="0.31496062992125984" right="0.3937007874015748" top="0.5905511811023623" bottom="0.3937007874015748" header="0.5118110236220472" footer="0.5118110236220472"/>
  <pageSetup horizontalDpi="300" verticalDpi="300" orientation="landscape" paperSize="9" scale="72" r:id="rId3"/>
  <rowBreaks count="8" manualBreakCount="8">
    <brk id="38" max="255" man="1"/>
    <brk id="62" max="255" man="1"/>
    <brk id="102" max="255" man="1"/>
    <brk id="149" max="255" man="1"/>
    <brk id="196" max="255" man="1"/>
    <brk id="215" max="255" man="1"/>
    <brk id="262" max="255" man="1"/>
    <brk id="29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46"/>
  <sheetViews>
    <sheetView showGridLines="0" view="pageBreakPreview" zoomScaleSheetLayoutView="100" workbookViewId="0" topLeftCell="A1">
      <selection activeCell="K40" sqref="K40"/>
    </sheetView>
  </sheetViews>
  <sheetFormatPr defaultColWidth="9.00390625" defaultRowHeight="12"/>
  <cols>
    <col min="1" max="1" width="4.75390625" style="83" customWidth="1"/>
    <col min="2" max="2" width="29.375" style="83" customWidth="1"/>
    <col min="3" max="7" width="14.75390625" style="83" customWidth="1"/>
    <col min="8" max="8" width="9.25390625" style="83" bestFit="1" customWidth="1"/>
    <col min="9" max="9" width="10.25390625" style="83" customWidth="1"/>
    <col min="10" max="16384" width="9.125" style="83" customWidth="1"/>
  </cols>
  <sheetData>
    <row r="1" spans="1:8" s="998" customFormat="1" ht="15.75">
      <c r="A1" s="1346" t="s">
        <v>556</v>
      </c>
      <c r="B1" s="1346"/>
      <c r="C1" s="1346"/>
      <c r="D1" s="1346"/>
      <c r="E1" s="1346"/>
      <c r="F1" s="1346"/>
      <c r="G1" s="1346"/>
      <c r="H1" s="1346"/>
    </row>
    <row r="2" spans="1:4" ht="15.75">
      <c r="A2" s="1422"/>
      <c r="B2" s="1422"/>
      <c r="C2" s="1422"/>
      <c r="D2" s="1422"/>
    </row>
    <row r="3" spans="1:8" ht="12.75">
      <c r="A3" s="1423" t="s">
        <v>413</v>
      </c>
      <c r="B3" s="1423"/>
      <c r="C3" s="1423"/>
      <c r="D3" s="1423"/>
      <c r="E3" s="1423"/>
      <c r="F3" s="1423"/>
      <c r="G3" s="1423"/>
      <c r="H3" s="1423"/>
    </row>
    <row r="4" spans="7:8" ht="12.75" thickBot="1">
      <c r="G4"/>
      <c r="H4" s="293" t="s">
        <v>57</v>
      </c>
    </row>
    <row r="5" spans="1:8" ht="12">
      <c r="A5" s="1382" t="s">
        <v>414</v>
      </c>
      <c r="B5" s="1424" t="s">
        <v>415</v>
      </c>
      <c r="C5" s="1388" t="s">
        <v>60</v>
      </c>
      <c r="D5" s="1388" t="s">
        <v>341</v>
      </c>
      <c r="E5" s="1427" t="s">
        <v>61</v>
      </c>
      <c r="F5" s="1427"/>
      <c r="G5" s="1428"/>
      <c r="H5" s="1429" t="s">
        <v>416</v>
      </c>
    </row>
    <row r="6" spans="1:8" ht="12">
      <c r="A6" s="1383"/>
      <c r="B6" s="1425"/>
      <c r="C6" s="1389"/>
      <c r="D6" s="1389"/>
      <c r="E6" s="1432" t="s">
        <v>257</v>
      </c>
      <c r="F6" s="689" t="s">
        <v>258</v>
      </c>
      <c r="G6" s="1434" t="s">
        <v>259</v>
      </c>
      <c r="H6" s="1430"/>
    </row>
    <row r="7" spans="1:8" ht="24">
      <c r="A7" s="1384"/>
      <c r="B7" s="1426"/>
      <c r="C7" s="1390"/>
      <c r="D7" s="1390"/>
      <c r="E7" s="1387"/>
      <c r="F7" s="689" t="s">
        <v>417</v>
      </c>
      <c r="G7" s="1390"/>
      <c r="H7" s="1431"/>
    </row>
    <row r="8" spans="1:8" ht="12.75" thickBot="1">
      <c r="A8" s="690">
        <v>1</v>
      </c>
      <c r="B8" s="691">
        <v>2</v>
      </c>
      <c r="C8" s="692">
        <v>3</v>
      </c>
      <c r="D8" s="68">
        <v>4</v>
      </c>
      <c r="E8" s="692">
        <v>5</v>
      </c>
      <c r="F8" s="692">
        <v>6</v>
      </c>
      <c r="G8" s="693">
        <v>7</v>
      </c>
      <c r="H8" s="694">
        <v>8</v>
      </c>
    </row>
    <row r="9" spans="1:8" ht="12">
      <c r="A9" s="84"/>
      <c r="B9" s="85"/>
      <c r="C9" s="85"/>
      <c r="D9" s="85" t="s">
        <v>305</v>
      </c>
      <c r="E9" s="695"/>
      <c r="F9" s="695"/>
      <c r="G9" s="125" t="s">
        <v>305</v>
      </c>
      <c r="H9" s="696" t="s">
        <v>305</v>
      </c>
    </row>
    <row r="10" spans="1:9" ht="12">
      <c r="A10" s="84">
        <v>1</v>
      </c>
      <c r="B10" s="697" t="s">
        <v>418</v>
      </c>
      <c r="C10" s="698">
        <f>SUM(C12+C22)</f>
        <v>735828</v>
      </c>
      <c r="D10" s="699">
        <f>SUM(D12+D22)</f>
        <v>397013.19999999995</v>
      </c>
      <c r="E10" s="699">
        <f>SUM(E12+E22)</f>
        <v>397013.19999999995</v>
      </c>
      <c r="F10" s="700">
        <f>SUM(F12+F22)</f>
        <v>46503.6</v>
      </c>
      <c r="G10" s="701">
        <f>SUM(G12+G22)</f>
        <v>0</v>
      </c>
      <c r="H10" s="702">
        <f>SUM(D10/C10)</f>
        <v>0.539546198296341</v>
      </c>
      <c r="I10" s="1139"/>
    </row>
    <row r="11" spans="1:8" ht="12">
      <c r="A11" s="84"/>
      <c r="B11" s="86"/>
      <c r="C11" s="703" t="s">
        <v>305</v>
      </c>
      <c r="D11" s="704" t="s">
        <v>305</v>
      </c>
      <c r="E11" s="704" t="s">
        <v>305</v>
      </c>
      <c r="F11" s="705" t="s">
        <v>305</v>
      </c>
      <c r="G11" s="706" t="s">
        <v>305</v>
      </c>
      <c r="H11" s="707"/>
    </row>
    <row r="12" spans="1:8" ht="12">
      <c r="A12" s="84">
        <v>2</v>
      </c>
      <c r="B12" s="697" t="s">
        <v>419</v>
      </c>
      <c r="C12" s="698">
        <f>SUM(C13:C20)</f>
        <v>421516</v>
      </c>
      <c r="D12" s="699">
        <f>SUM(D13:D20)</f>
        <v>239514.13999999996</v>
      </c>
      <c r="E12" s="699">
        <f>SUM(E13:E20)</f>
        <v>239514.13999999996</v>
      </c>
      <c r="F12" s="700">
        <f>SUM(F13:F20)</f>
        <v>31049.73</v>
      </c>
      <c r="G12" s="701">
        <f>SUM(G13:G20)</f>
        <v>0</v>
      </c>
      <c r="H12" s="702">
        <f>SUM(D12/C12)</f>
        <v>0.5682207555585077</v>
      </c>
    </row>
    <row r="13" spans="1:8" ht="12">
      <c r="A13" s="84"/>
      <c r="B13" s="86"/>
      <c r="C13" s="703"/>
      <c r="D13" s="704"/>
      <c r="E13" s="705"/>
      <c r="F13" s="705"/>
      <c r="G13" s="706"/>
      <c r="H13" s="707"/>
    </row>
    <row r="14" spans="1:8" ht="12">
      <c r="A14" s="84">
        <v>3</v>
      </c>
      <c r="B14" s="88" t="s">
        <v>420</v>
      </c>
      <c r="C14" s="708">
        <v>31200</v>
      </c>
      <c r="D14" s="709">
        <f aca="true" t="shared" si="0" ref="D14:D20">SUM(E14+G14)</f>
        <v>18110.17</v>
      </c>
      <c r="E14" s="709">
        <v>18110.17</v>
      </c>
      <c r="F14" s="710"/>
      <c r="G14" s="711"/>
      <c r="H14" s="712">
        <f aca="true" t="shared" si="1" ref="H14:H20">SUM(D14/C14)</f>
        <v>0.5804541666666666</v>
      </c>
    </row>
    <row r="15" spans="1:8" ht="12">
      <c r="A15" s="84">
        <v>4</v>
      </c>
      <c r="B15" s="88" t="s">
        <v>421</v>
      </c>
      <c r="C15" s="708">
        <v>52350</v>
      </c>
      <c r="D15" s="709">
        <f>SUM(E15+G15)</f>
        <v>34056.86</v>
      </c>
      <c r="E15" s="709">
        <v>34056.86</v>
      </c>
      <c r="F15" s="710">
        <f>958.86+154.35+6300</f>
        <v>7413.21</v>
      </c>
      <c r="G15" s="711"/>
      <c r="H15" s="712">
        <f t="shared" si="1"/>
        <v>0.6505608404966571</v>
      </c>
    </row>
    <row r="16" spans="1:8" ht="12">
      <c r="A16" s="84">
        <v>5</v>
      </c>
      <c r="B16" s="88" t="s">
        <v>422</v>
      </c>
      <c r="C16" s="708">
        <v>84000</v>
      </c>
      <c r="D16" s="709">
        <f t="shared" si="0"/>
        <v>43582.9</v>
      </c>
      <c r="E16" s="709">
        <v>43582.9</v>
      </c>
      <c r="F16" s="710">
        <f>1232.82+198.45+17550</f>
        <v>18981.27</v>
      </c>
      <c r="G16" s="711"/>
      <c r="H16" s="712">
        <f t="shared" si="1"/>
        <v>0.5188440476190477</v>
      </c>
    </row>
    <row r="17" spans="1:8" ht="12">
      <c r="A17" s="84">
        <v>6</v>
      </c>
      <c r="B17" s="88" t="s">
        <v>423</v>
      </c>
      <c r="C17" s="1143">
        <v>87600</v>
      </c>
      <c r="D17" s="709">
        <f t="shared" si="0"/>
        <v>54681.56</v>
      </c>
      <c r="E17" s="709">
        <v>54681.56</v>
      </c>
      <c r="F17" s="710">
        <f>82.02+13.23+1380</f>
        <v>1475.25</v>
      </c>
      <c r="G17" s="711"/>
      <c r="H17" s="712">
        <f t="shared" si="1"/>
        <v>0.6242187214611872</v>
      </c>
    </row>
    <row r="18" spans="1:10" ht="12">
      <c r="A18" s="84">
        <v>7</v>
      </c>
      <c r="B18" s="88" t="s">
        <v>424</v>
      </c>
      <c r="C18" s="1143">
        <v>46096</v>
      </c>
      <c r="D18" s="709">
        <f t="shared" si="0"/>
        <v>22020.52</v>
      </c>
      <c r="E18" s="709">
        <v>22020.52</v>
      </c>
      <c r="F18" s="710"/>
      <c r="G18" s="711"/>
      <c r="H18" s="712">
        <f t="shared" si="1"/>
        <v>0.477709996528983</v>
      </c>
      <c r="J18" s="1140"/>
    </row>
    <row r="19" spans="1:8" ht="12">
      <c r="A19" s="84">
        <v>8</v>
      </c>
      <c r="B19" s="88" t="s">
        <v>425</v>
      </c>
      <c r="C19" s="1143">
        <v>52150</v>
      </c>
      <c r="D19" s="709">
        <f t="shared" si="0"/>
        <v>25666.74</v>
      </c>
      <c r="E19" s="709">
        <v>25666.74</v>
      </c>
      <c r="F19" s="710"/>
      <c r="G19" s="711"/>
      <c r="H19" s="712">
        <f t="shared" si="1"/>
        <v>0.4921714285714286</v>
      </c>
    </row>
    <row r="20" spans="1:8" ht="12">
      <c r="A20" s="84">
        <v>9</v>
      </c>
      <c r="B20" s="88" t="s">
        <v>426</v>
      </c>
      <c r="C20" s="1143">
        <v>68120</v>
      </c>
      <c r="D20" s="709">
        <f t="shared" si="0"/>
        <v>41395.39</v>
      </c>
      <c r="E20" s="709">
        <v>41395.39</v>
      </c>
      <c r="F20" s="710">
        <v>3180</v>
      </c>
      <c r="G20" s="711"/>
      <c r="H20" s="712">
        <f t="shared" si="1"/>
        <v>0.6076833529066353</v>
      </c>
    </row>
    <row r="21" spans="1:8" ht="12">
      <c r="A21" s="84"/>
      <c r="B21" s="86"/>
      <c r="C21" s="1144"/>
      <c r="D21" s="704"/>
      <c r="E21" s="705"/>
      <c r="F21" s="705"/>
      <c r="G21" s="706"/>
      <c r="H21" s="707"/>
    </row>
    <row r="22" spans="1:8" ht="12">
      <c r="A22" s="84">
        <v>10</v>
      </c>
      <c r="B22" s="697" t="s">
        <v>427</v>
      </c>
      <c r="C22" s="1145">
        <f>SUM(C24:C35)</f>
        <v>314312</v>
      </c>
      <c r="D22" s="699">
        <f>SUM(D24:D35)</f>
        <v>157499.06000000003</v>
      </c>
      <c r="E22" s="699">
        <f>SUM(E24:E35)</f>
        <v>157499.06000000003</v>
      </c>
      <c r="F22" s="700">
        <f>SUM(F24:F35)</f>
        <v>15453.869999999999</v>
      </c>
      <c r="G22" s="701">
        <f>SUM(G24:G35)</f>
        <v>0</v>
      </c>
      <c r="H22" s="702">
        <f>SUM(D22/C22)</f>
        <v>0.5010914632594365</v>
      </c>
    </row>
    <row r="23" spans="1:8" ht="12">
      <c r="A23" s="84"/>
      <c r="B23" s="86"/>
      <c r="C23" s="1144"/>
      <c r="D23" s="704"/>
      <c r="E23" s="705"/>
      <c r="F23" s="705"/>
      <c r="G23" s="706"/>
      <c r="H23" s="707"/>
    </row>
    <row r="24" spans="1:8" ht="12">
      <c r="A24" s="84">
        <v>11</v>
      </c>
      <c r="B24" s="88" t="s">
        <v>428</v>
      </c>
      <c r="C24" s="1143">
        <v>21750</v>
      </c>
      <c r="D24" s="709">
        <f>SUM(E24+G24)</f>
        <v>11757.35</v>
      </c>
      <c r="E24" s="709">
        <v>11757.35</v>
      </c>
      <c r="F24" s="710"/>
      <c r="G24" s="711"/>
      <c r="H24" s="712">
        <f>SUM(D24/C24)</f>
        <v>0.540567816091954</v>
      </c>
    </row>
    <row r="25" spans="1:8" ht="12">
      <c r="A25" s="84">
        <v>12</v>
      </c>
      <c r="B25" s="88" t="s">
        <v>429</v>
      </c>
      <c r="C25" s="1143">
        <v>17600</v>
      </c>
      <c r="D25" s="709">
        <f aca="true" t="shared" si="2" ref="D25:D34">SUM(E25+G25)</f>
        <v>8564.98</v>
      </c>
      <c r="E25" s="709">
        <v>8564.98</v>
      </c>
      <c r="F25" s="710"/>
      <c r="G25" s="711"/>
      <c r="H25" s="712">
        <f>SUM(D25/C25)</f>
        <v>0.4866465909090909</v>
      </c>
    </row>
    <row r="26" spans="1:8" ht="13.5">
      <c r="A26" s="84">
        <v>13</v>
      </c>
      <c r="B26" s="88" t="s">
        <v>430</v>
      </c>
      <c r="C26" s="1143">
        <v>16900</v>
      </c>
      <c r="D26" s="709">
        <f t="shared" si="2"/>
        <v>6467.95</v>
      </c>
      <c r="E26" s="709">
        <v>6467.95</v>
      </c>
      <c r="F26" s="710"/>
      <c r="G26" s="711"/>
      <c r="H26" s="712">
        <f aca="true" t="shared" si="3" ref="H26:H34">SUM(D26/C26)</f>
        <v>0.3827189349112426</v>
      </c>
    </row>
    <row r="27" spans="1:8" ht="12">
      <c r="A27" s="84">
        <v>14</v>
      </c>
      <c r="B27" s="88" t="s">
        <v>431</v>
      </c>
      <c r="C27" s="1143">
        <v>66245</v>
      </c>
      <c r="D27" s="709">
        <f t="shared" si="2"/>
        <v>29864.96</v>
      </c>
      <c r="E27" s="709">
        <v>29864.96</v>
      </c>
      <c r="F27" s="710">
        <f>1424.55+229.32+9360</f>
        <v>11013.869999999999</v>
      </c>
      <c r="G27" s="711"/>
      <c r="H27" s="712">
        <f t="shared" si="3"/>
        <v>0.45082587365084154</v>
      </c>
    </row>
    <row r="28" spans="1:8" ht="13.5">
      <c r="A28" s="84">
        <v>15</v>
      </c>
      <c r="B28" s="88" t="s">
        <v>432</v>
      </c>
      <c r="C28" s="1143">
        <v>10450</v>
      </c>
      <c r="D28" s="709">
        <f t="shared" si="2"/>
        <v>7175.44</v>
      </c>
      <c r="E28" s="709">
        <v>7175.44</v>
      </c>
      <c r="F28" s="710"/>
      <c r="G28" s="711"/>
      <c r="H28" s="712">
        <f t="shared" si="3"/>
        <v>0.686644976076555</v>
      </c>
    </row>
    <row r="29" spans="1:8" ht="12">
      <c r="A29" s="84">
        <v>16</v>
      </c>
      <c r="B29" s="88" t="s">
        <v>433</v>
      </c>
      <c r="C29" s="1143">
        <v>5700</v>
      </c>
      <c r="D29" s="709">
        <f t="shared" si="2"/>
        <v>2932.81</v>
      </c>
      <c r="E29" s="709">
        <v>2932.81</v>
      </c>
      <c r="F29" s="710"/>
      <c r="G29" s="711"/>
      <c r="H29" s="712">
        <f t="shared" si="3"/>
        <v>0.5145280701754386</v>
      </c>
    </row>
    <row r="30" spans="1:8" ht="12">
      <c r="A30" s="84">
        <v>17</v>
      </c>
      <c r="B30" s="88" t="s">
        <v>434</v>
      </c>
      <c r="C30" s="1143">
        <v>51590</v>
      </c>
      <c r="D30" s="709">
        <f t="shared" si="2"/>
        <v>34903.35</v>
      </c>
      <c r="E30" s="709">
        <v>34903.35</v>
      </c>
      <c r="F30" s="710">
        <v>4440</v>
      </c>
      <c r="G30" s="711"/>
      <c r="H30" s="712">
        <f t="shared" si="3"/>
        <v>0.6765526264779996</v>
      </c>
    </row>
    <row r="31" spans="1:8" ht="12">
      <c r="A31" s="84">
        <v>18</v>
      </c>
      <c r="B31" s="88" t="s">
        <v>435</v>
      </c>
      <c r="C31" s="1143">
        <v>15150</v>
      </c>
      <c r="D31" s="709">
        <f t="shared" si="2"/>
        <v>8590.3</v>
      </c>
      <c r="E31" s="709">
        <v>8590.3</v>
      </c>
      <c r="F31" s="710"/>
      <c r="G31" s="711"/>
      <c r="H31" s="712">
        <f t="shared" si="3"/>
        <v>0.5670165016501649</v>
      </c>
    </row>
    <row r="32" spans="1:8" ht="12">
      <c r="A32" s="84">
        <v>19</v>
      </c>
      <c r="B32" s="88" t="s">
        <v>436</v>
      </c>
      <c r="C32" s="1143">
        <v>50200</v>
      </c>
      <c r="D32" s="709">
        <f t="shared" si="2"/>
        <v>18268.66</v>
      </c>
      <c r="E32" s="709">
        <v>18268.66</v>
      </c>
      <c r="F32" s="710"/>
      <c r="G32" s="711"/>
      <c r="H32" s="712">
        <f t="shared" si="3"/>
        <v>0.3639175298804781</v>
      </c>
    </row>
    <row r="33" spans="1:8" ht="13.5">
      <c r="A33" s="84">
        <v>20</v>
      </c>
      <c r="B33" s="88" t="s">
        <v>437</v>
      </c>
      <c r="C33" s="1143">
        <v>16595</v>
      </c>
      <c r="D33" s="709">
        <f t="shared" si="2"/>
        <v>10641.31</v>
      </c>
      <c r="E33" s="709">
        <v>10641.31</v>
      </c>
      <c r="F33" s="710"/>
      <c r="G33" s="711"/>
      <c r="H33" s="712">
        <f t="shared" si="3"/>
        <v>0.6412359144320579</v>
      </c>
    </row>
    <row r="34" spans="1:10" ht="12">
      <c r="A34" s="84">
        <v>21</v>
      </c>
      <c r="B34" s="88" t="s">
        <v>438</v>
      </c>
      <c r="C34" s="1143">
        <v>26632</v>
      </c>
      <c r="D34" s="709">
        <f t="shared" si="2"/>
        <v>14461.01</v>
      </c>
      <c r="E34" s="709">
        <v>14461.01</v>
      </c>
      <c r="F34" s="710"/>
      <c r="G34" s="711"/>
      <c r="H34" s="712">
        <f t="shared" si="3"/>
        <v>0.5429937668969661</v>
      </c>
      <c r="J34" s="1140"/>
    </row>
    <row r="35" spans="1:8" ht="12.75" thickBot="1">
      <c r="A35" s="89">
        <v>22</v>
      </c>
      <c r="B35" s="90" t="s">
        <v>439</v>
      </c>
      <c r="C35" s="713">
        <v>15500</v>
      </c>
      <c r="D35" s="714">
        <f>SUM(E35+G35)</f>
        <v>3870.94</v>
      </c>
      <c r="E35" s="714">
        <v>3870.94</v>
      </c>
      <c r="F35" s="715"/>
      <c r="G35" s="716"/>
      <c r="H35" s="717">
        <f>SUM(D35/C35)</f>
        <v>0.24973806451612904</v>
      </c>
    </row>
    <row r="36" spans="1:10" ht="33.75" customHeight="1">
      <c r="A36" s="125"/>
      <c r="B36" s="119"/>
      <c r="C36" s="718"/>
      <c r="D36" s="718"/>
      <c r="E36" s="718"/>
      <c r="F36" s="718"/>
      <c r="G36" s="718"/>
      <c r="J36" s="1140"/>
    </row>
    <row r="37" spans="1:8" ht="12">
      <c r="A37" s="1435" t="s">
        <v>0</v>
      </c>
      <c r="B37" s="1435"/>
      <c r="C37" s="1435"/>
      <c r="D37" s="1435"/>
      <c r="E37" s="1435"/>
      <c r="F37" s="1435"/>
      <c r="G37" s="1435"/>
      <c r="H37" s="1435"/>
    </row>
    <row r="38" spans="1:8" ht="12.75" customHeight="1">
      <c r="A38" s="1436"/>
      <c r="B38" s="1437"/>
      <c r="C38" s="1437"/>
      <c r="D38" s="1437"/>
      <c r="E38" s="1437"/>
      <c r="F38" s="1437"/>
      <c r="G38" s="1437"/>
      <c r="H38" s="1437"/>
    </row>
    <row r="39" spans="1:8" ht="7.5" customHeight="1">
      <c r="A39" s="1141"/>
      <c r="B39" s="1142"/>
      <c r="C39" s="1142"/>
      <c r="D39" s="1142"/>
      <c r="E39" s="1142"/>
      <c r="F39" s="1142"/>
      <c r="G39" s="1142"/>
      <c r="H39" s="1142"/>
    </row>
    <row r="40" ht="12">
      <c r="A40" s="83" t="s">
        <v>603</v>
      </c>
    </row>
    <row r="41" ht="6" customHeight="1"/>
    <row r="42" spans="1:8" ht="37.5" customHeight="1">
      <c r="A42" s="1433" t="s">
        <v>604</v>
      </c>
      <c r="B42" s="1433"/>
      <c r="C42" s="1433"/>
      <c r="D42" s="1433"/>
      <c r="E42" s="1433"/>
      <c r="F42" s="1433"/>
      <c r="G42" s="1433"/>
      <c r="H42" s="1433"/>
    </row>
    <row r="43" ht="6" customHeight="1"/>
    <row r="44" spans="1:8" ht="24" customHeight="1">
      <c r="A44" s="1433" t="s">
        <v>635</v>
      </c>
      <c r="B44" s="1433"/>
      <c r="C44" s="1433"/>
      <c r="D44" s="1433"/>
      <c r="E44" s="1433"/>
      <c r="F44" s="1433"/>
      <c r="G44" s="1433"/>
      <c r="H44" s="1433"/>
    </row>
    <row r="45" ht="6" customHeight="1"/>
    <row r="46" spans="1:8" ht="23.25" customHeight="1">
      <c r="A46" s="1433" t="s">
        <v>605</v>
      </c>
      <c r="B46" s="1433"/>
      <c r="C46" s="1433"/>
      <c r="D46" s="1433"/>
      <c r="E46" s="1433"/>
      <c r="F46" s="1433"/>
      <c r="G46" s="1433"/>
      <c r="H46" s="1433"/>
    </row>
  </sheetData>
  <mergeCells count="16">
    <mergeCell ref="A44:H44"/>
    <mergeCell ref="A46:H46"/>
    <mergeCell ref="G6:G7"/>
    <mergeCell ref="A37:H37"/>
    <mergeCell ref="A38:H38"/>
    <mergeCell ref="A42:H42"/>
    <mergeCell ref="A1:H1"/>
    <mergeCell ref="A2:D2"/>
    <mergeCell ref="A3:H3"/>
    <mergeCell ref="A5:A7"/>
    <mergeCell ref="B5:B7"/>
    <mergeCell ref="C5:C7"/>
    <mergeCell ref="D5:D7"/>
    <mergeCell ref="E5:G5"/>
    <mergeCell ref="H5:H7"/>
    <mergeCell ref="E6:E7"/>
  </mergeCells>
  <printOptions/>
  <pageMargins left="0.85" right="0.48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168"/>
  <sheetViews>
    <sheetView showGridLines="0" view="pageBreakPreview" zoomScaleSheetLayoutView="100" workbookViewId="0" topLeftCell="A1">
      <selection activeCell="H8" sqref="H8"/>
    </sheetView>
  </sheetViews>
  <sheetFormatPr defaultColWidth="9.00390625" defaultRowHeight="12"/>
  <cols>
    <col min="1" max="1" width="5.25390625" style="1051" customWidth="1"/>
    <col min="2" max="2" width="38.75390625" style="1051" customWidth="1"/>
    <col min="3" max="3" width="6.75390625" style="1051" customWidth="1"/>
    <col min="4" max="4" width="9.375" style="1051" customWidth="1"/>
    <col min="5" max="5" width="13.375" style="1051" bestFit="1" customWidth="1"/>
    <col min="6" max="6" width="15.75390625" style="1051" customWidth="1"/>
    <col min="7" max="7" width="9.625" style="1051" customWidth="1"/>
    <col min="8" max="9" width="9.125" style="1051" customWidth="1"/>
    <col min="10" max="10" width="6.75390625" style="1051" customWidth="1"/>
    <col min="11" max="11" width="13.375" style="1051" hidden="1" customWidth="1"/>
    <col min="12" max="16384" width="9.125" style="1051" customWidth="1"/>
  </cols>
  <sheetData>
    <row r="1" spans="1:7" s="1218" customFormat="1" ht="15.75">
      <c r="A1" s="1438" t="s">
        <v>55</v>
      </c>
      <c r="B1" s="1438"/>
      <c r="C1" s="1438"/>
      <c r="D1" s="1438"/>
      <c r="E1" s="1438"/>
      <c r="F1" s="1438"/>
      <c r="G1" s="1438"/>
    </row>
    <row r="2" spans="1:7" ht="15">
      <c r="A2" s="1439" t="s">
        <v>557</v>
      </c>
      <c r="B2" s="1439"/>
      <c r="C2" s="1439"/>
      <c r="D2" s="1439"/>
      <c r="E2" s="1439"/>
      <c r="F2" s="1439"/>
      <c r="G2" s="1439"/>
    </row>
    <row r="3" spans="1:7" ht="12" customHeight="1" thickBot="1">
      <c r="A3" s="1052"/>
      <c r="B3" s="1052"/>
      <c r="C3" s="1052"/>
      <c r="D3" s="1052"/>
      <c r="E3" s="1052"/>
      <c r="F3" s="1052"/>
      <c r="G3" s="1053" t="s">
        <v>57</v>
      </c>
    </row>
    <row r="4" spans="1:7" ht="24" customHeight="1">
      <c r="A4" s="1125" t="s">
        <v>414</v>
      </c>
      <c r="B4" s="1126" t="s">
        <v>86</v>
      </c>
      <c r="C4" s="1126" t="s">
        <v>58</v>
      </c>
      <c r="D4" s="1126" t="s">
        <v>84</v>
      </c>
      <c r="E4" s="1127" t="s">
        <v>60</v>
      </c>
      <c r="F4" s="1128" t="s">
        <v>341</v>
      </c>
      <c r="G4" s="1129" t="s">
        <v>558</v>
      </c>
    </row>
    <row r="5" spans="1:7" ht="12" customHeight="1" thickBot="1">
      <c r="A5" s="1130"/>
      <c r="B5" s="1131"/>
      <c r="C5" s="1131"/>
      <c r="D5" s="1131"/>
      <c r="E5" s="1132"/>
      <c r="F5" s="1133"/>
      <c r="G5" s="1134" t="s">
        <v>559</v>
      </c>
    </row>
    <row r="6" spans="1:7" s="1149" customFormat="1" ht="12">
      <c r="A6" s="1146">
        <v>1</v>
      </c>
      <c r="B6" s="1147">
        <v>2</v>
      </c>
      <c r="C6" s="1147">
        <v>3</v>
      </c>
      <c r="D6" s="1147">
        <v>4</v>
      </c>
      <c r="E6" s="1147">
        <v>5</v>
      </c>
      <c r="F6" s="1136">
        <v>6</v>
      </c>
      <c r="G6" s="1148">
        <v>7</v>
      </c>
    </row>
    <row r="7" spans="1:7" ht="9.75" customHeight="1">
      <c r="A7" s="1056"/>
      <c r="B7" s="1057"/>
      <c r="C7" s="1057"/>
      <c r="D7" s="1057"/>
      <c r="E7" s="1057"/>
      <c r="F7" s="1057"/>
      <c r="G7" s="1058"/>
    </row>
    <row r="8" spans="1:7" ht="12">
      <c r="A8" s="1056">
        <v>1</v>
      </c>
      <c r="B8" s="1057" t="s">
        <v>560</v>
      </c>
      <c r="C8" s="1059"/>
      <c r="D8" s="1059"/>
      <c r="E8" s="1060"/>
      <c r="F8" s="1061"/>
      <c r="G8" s="1058"/>
    </row>
    <row r="9" spans="1:7" ht="12">
      <c r="A9" s="1056"/>
      <c r="B9" s="1057" t="s">
        <v>561</v>
      </c>
      <c r="C9" s="1059"/>
      <c r="D9" s="1059"/>
      <c r="E9" s="1062">
        <f>SUM(E11:E14)</f>
        <v>8137200</v>
      </c>
      <c r="F9" s="1063">
        <f>SUM(F11:F14)</f>
        <v>6970198.71</v>
      </c>
      <c r="G9" s="702">
        <f>SUM(F9/E9)</f>
        <v>0.856584416015337</v>
      </c>
    </row>
    <row r="10" spans="1:7" ht="12">
      <c r="A10" s="1064"/>
      <c r="B10" s="1057" t="s">
        <v>562</v>
      </c>
      <c r="C10" s="1065"/>
      <c r="D10" s="1065"/>
      <c r="E10" s="1065"/>
      <c r="F10" s="1066"/>
      <c r="G10" s="1067"/>
    </row>
    <row r="11" spans="1:7" ht="12">
      <c r="A11" s="1056"/>
      <c r="B11" s="1057" t="s">
        <v>563</v>
      </c>
      <c r="C11" s="1059">
        <v>700</v>
      </c>
      <c r="D11" s="1059">
        <v>70001</v>
      </c>
      <c r="E11" s="1060">
        <v>2792000</v>
      </c>
      <c r="F11" s="1061">
        <v>2252000</v>
      </c>
      <c r="G11" s="707">
        <f>SUM(F11/E11)</f>
        <v>0.8065902578796562</v>
      </c>
    </row>
    <row r="12" spans="1:7" ht="12">
      <c r="A12" s="1056"/>
      <c r="B12" s="1057" t="s">
        <v>564</v>
      </c>
      <c r="C12" s="1059">
        <v>700</v>
      </c>
      <c r="D12" s="1059">
        <v>70001</v>
      </c>
      <c r="E12" s="1060">
        <v>5092200</v>
      </c>
      <c r="F12" s="1061">
        <v>4592198.71</v>
      </c>
      <c r="G12" s="707">
        <f>SUM(F12/E12)</f>
        <v>0.9018103589804014</v>
      </c>
    </row>
    <row r="13" spans="1:7" ht="12">
      <c r="A13" s="1056"/>
      <c r="B13" s="1057" t="s">
        <v>565</v>
      </c>
      <c r="C13" s="1059">
        <v>852</v>
      </c>
      <c r="D13" s="1059">
        <v>85212</v>
      </c>
      <c r="E13" s="1060">
        <v>85000</v>
      </c>
      <c r="F13" s="1061">
        <v>0</v>
      </c>
      <c r="G13" s="707">
        <f>SUM(F13/E13)</f>
        <v>0</v>
      </c>
    </row>
    <row r="14" spans="1:11" ht="12">
      <c r="A14" s="1068"/>
      <c r="B14" s="1069" t="s">
        <v>634</v>
      </c>
      <c r="C14" s="1070">
        <v>900</v>
      </c>
      <c r="D14" s="1070">
        <v>90095</v>
      </c>
      <c r="E14" s="1071">
        <v>168000</v>
      </c>
      <c r="F14" s="1072">
        <v>126000</v>
      </c>
      <c r="G14" s="712">
        <f>SUM(F14/E14)</f>
        <v>0.75</v>
      </c>
      <c r="H14" s="1073"/>
      <c r="I14" s="1073"/>
      <c r="J14" s="1073"/>
      <c r="K14" s="1074">
        <f>F25+F31+F37+F44+F52+F59+F65</f>
        <v>13649752.14</v>
      </c>
    </row>
    <row r="15" spans="1:7" ht="12">
      <c r="A15" s="1064"/>
      <c r="B15" s="1075"/>
      <c r="C15" s="1076"/>
      <c r="D15" s="1076"/>
      <c r="E15" s="1077"/>
      <c r="F15" s="1077"/>
      <c r="G15" s="856"/>
    </row>
    <row r="16" spans="1:11" ht="12">
      <c r="A16" s="1064"/>
      <c r="B16" s="1057" t="s">
        <v>566</v>
      </c>
      <c r="C16" s="1059"/>
      <c r="D16" s="1059"/>
      <c r="E16" s="1060"/>
      <c r="F16" s="1078"/>
      <c r="G16" s="1079"/>
      <c r="J16" s="1073"/>
      <c r="K16" s="1074">
        <f>F38+F53</f>
        <v>183953.72999999998</v>
      </c>
    </row>
    <row r="17" spans="1:11" ht="12">
      <c r="A17" s="1056">
        <v>2</v>
      </c>
      <c r="B17" s="1057" t="s">
        <v>567</v>
      </c>
      <c r="C17" s="1059"/>
      <c r="D17" s="1080"/>
      <c r="E17" s="1081">
        <f>SUM(E18)</f>
        <v>80000</v>
      </c>
      <c r="F17" s="1082">
        <f>SUM(F18)</f>
        <v>0</v>
      </c>
      <c r="G17" s="1083">
        <f>SUM(F17/E17)</f>
        <v>0</v>
      </c>
      <c r="J17" s="1073"/>
      <c r="K17" s="1073">
        <f>F26+F32+F39+F45+F54+F60+F66</f>
        <v>318210</v>
      </c>
    </row>
    <row r="18" spans="1:11" ht="12">
      <c r="A18" s="1064"/>
      <c r="B18" s="1069" t="s">
        <v>568</v>
      </c>
      <c r="C18" s="1070">
        <v>400</v>
      </c>
      <c r="D18" s="1084">
        <v>40002</v>
      </c>
      <c r="E18" s="1085">
        <v>80000</v>
      </c>
      <c r="F18" s="1086">
        <v>0</v>
      </c>
      <c r="G18" s="712">
        <f>SUM(F18/E18)</f>
        <v>0</v>
      </c>
      <c r="J18" s="1073"/>
      <c r="K18" s="1073">
        <f>F27+F33+F40+F46+F55+F61+F67+F72+F78+F83+F88+F93+F98+F104+F109+F115+F120+F126+F132+F137+F142</f>
        <v>150600</v>
      </c>
    </row>
    <row r="19" spans="1:11" ht="12">
      <c r="A19" s="1087"/>
      <c r="B19" s="1075"/>
      <c r="C19" s="1076"/>
      <c r="D19" s="1076"/>
      <c r="E19" s="1077"/>
      <c r="F19" s="1077"/>
      <c r="G19" s="856"/>
      <c r="J19" s="1073"/>
      <c r="K19" s="1073">
        <f>F47</f>
        <v>64285</v>
      </c>
    </row>
    <row r="20" spans="1:11" ht="10.5" customHeight="1">
      <c r="A20" s="1056">
        <v>3</v>
      </c>
      <c r="B20" s="1057" t="s">
        <v>569</v>
      </c>
      <c r="C20" s="1059"/>
      <c r="D20" s="1059"/>
      <c r="E20" s="1060"/>
      <c r="F20" s="1078"/>
      <c r="G20" s="1079"/>
      <c r="J20" s="1073"/>
      <c r="K20" s="1073">
        <f>F48+F73+F79+F84+F89+F94+F99+F105+F110+F116</f>
        <v>65200</v>
      </c>
    </row>
    <row r="21" spans="1:11" ht="12.75" customHeight="1">
      <c r="A21" s="1056"/>
      <c r="B21" s="1057" t="s">
        <v>570</v>
      </c>
      <c r="C21" s="1059"/>
      <c r="D21" s="1080"/>
      <c r="E21" s="1081">
        <f>SUM(E22)</f>
        <v>1000000</v>
      </c>
      <c r="F21" s="1082">
        <f>SUM(F22)</f>
        <v>0</v>
      </c>
      <c r="G21" s="1083">
        <f>SUM(F21/E21)</f>
        <v>0</v>
      </c>
      <c r="J21" s="1073"/>
      <c r="K21" s="1073">
        <f>F28+F34+F41+F49+F56+F62+F68+F121+F127+F133+F138+F143</f>
        <v>200000</v>
      </c>
    </row>
    <row r="22" spans="1:11" ht="12">
      <c r="A22" s="1088"/>
      <c r="B22" s="1069" t="s">
        <v>568</v>
      </c>
      <c r="C22" s="1070">
        <v>900</v>
      </c>
      <c r="D22" s="1084">
        <v>90002</v>
      </c>
      <c r="E22" s="1085">
        <v>1000000</v>
      </c>
      <c r="F22" s="1086">
        <v>0</v>
      </c>
      <c r="G22" s="712">
        <f>SUM(F22/E22)</f>
        <v>0</v>
      </c>
      <c r="J22" s="1073"/>
      <c r="K22" s="1073">
        <f>F71+F77+F82+F87+F92+F97+F102+F108+F113</f>
        <v>5673439</v>
      </c>
    </row>
    <row r="23" spans="1:11" ht="12">
      <c r="A23" s="1056"/>
      <c r="B23" s="1057"/>
      <c r="C23" s="1059"/>
      <c r="D23" s="1059"/>
      <c r="E23" s="1060"/>
      <c r="F23" s="1060"/>
      <c r="G23" s="1089"/>
      <c r="J23" s="1073"/>
      <c r="K23" s="1074">
        <f>F103+F114</f>
        <v>260937.47</v>
      </c>
    </row>
    <row r="24" spans="1:11" ht="12">
      <c r="A24" s="1056">
        <v>4</v>
      </c>
      <c r="B24" s="1057" t="s">
        <v>571</v>
      </c>
      <c r="C24" s="1059"/>
      <c r="D24" s="1059"/>
      <c r="E24" s="1090">
        <f>SUM(E25:E28)</f>
        <v>1853070</v>
      </c>
      <c r="F24" s="1091">
        <f>SUM(F25:F28)</f>
        <v>1573770</v>
      </c>
      <c r="G24" s="702">
        <f>SUM(F24/E24)</f>
        <v>0.8492771454936943</v>
      </c>
      <c r="J24" s="1073"/>
      <c r="K24" s="1074">
        <f>F119+F124+F130+F136+F141</f>
        <v>6833372.07</v>
      </c>
    </row>
    <row r="25" spans="1:11" ht="12">
      <c r="A25" s="1056"/>
      <c r="B25" s="1057" t="s">
        <v>572</v>
      </c>
      <c r="C25" s="1059">
        <v>801</v>
      </c>
      <c r="D25" s="1080">
        <v>80101</v>
      </c>
      <c r="E25" s="1092">
        <v>1787300</v>
      </c>
      <c r="F25" s="1093">
        <v>1511000</v>
      </c>
      <c r="G25" s="707">
        <f>SUM(F25/E25)</f>
        <v>0.8454092765624126</v>
      </c>
      <c r="J25" s="1073"/>
      <c r="K25" s="1074">
        <f>F125+F131</f>
        <v>29999.68</v>
      </c>
    </row>
    <row r="26" spans="1:11" ht="12">
      <c r="A26" s="1056"/>
      <c r="B26" s="1057" t="s">
        <v>573</v>
      </c>
      <c r="C26" s="1059">
        <v>801</v>
      </c>
      <c r="D26" s="1080">
        <v>80103</v>
      </c>
      <c r="E26" s="1092">
        <v>30000</v>
      </c>
      <c r="F26" s="1093">
        <v>27000</v>
      </c>
      <c r="G26" s="707">
        <f>SUM(F26/E26)</f>
        <v>0.9</v>
      </c>
      <c r="J26" s="1073"/>
      <c r="K26" s="1073">
        <f>F146</f>
        <v>615740</v>
      </c>
    </row>
    <row r="27" spans="1:11" ht="12">
      <c r="A27" s="1056"/>
      <c r="B27" s="1057" t="s">
        <v>574</v>
      </c>
      <c r="C27" s="1059">
        <v>801</v>
      </c>
      <c r="D27" s="1080">
        <v>80146</v>
      </c>
      <c r="E27" s="1092">
        <v>5300</v>
      </c>
      <c r="F27" s="1094">
        <v>5300</v>
      </c>
      <c r="G27" s="707">
        <f>SUM(F27/E27)</f>
        <v>1</v>
      </c>
      <c r="J27" s="1073"/>
      <c r="K27" s="1074">
        <f>F11</f>
        <v>2252000</v>
      </c>
    </row>
    <row r="28" spans="1:11" ht="12">
      <c r="A28" s="1088"/>
      <c r="B28" s="1069" t="s">
        <v>575</v>
      </c>
      <c r="C28" s="1070">
        <v>854</v>
      </c>
      <c r="D28" s="1084">
        <v>85415</v>
      </c>
      <c r="E28" s="1085">
        <v>30470</v>
      </c>
      <c r="F28" s="1086">
        <v>30470</v>
      </c>
      <c r="G28" s="712">
        <f>SUM(F28/E28)</f>
        <v>1</v>
      </c>
      <c r="J28" s="1073"/>
      <c r="K28" s="1095">
        <f>F12</f>
        <v>4592198.71</v>
      </c>
    </row>
    <row r="29" spans="1:11" ht="12">
      <c r="A29" s="1056"/>
      <c r="B29" s="1057"/>
      <c r="C29" s="1080"/>
      <c r="D29" s="1080"/>
      <c r="E29" s="1092"/>
      <c r="F29" s="1093"/>
      <c r="G29" s="707"/>
      <c r="J29" s="1073"/>
      <c r="K29" s="1073">
        <f>F13</f>
        <v>0</v>
      </c>
    </row>
    <row r="30" spans="1:11" ht="12">
      <c r="A30" s="1056">
        <v>5</v>
      </c>
      <c r="B30" s="1057" t="s">
        <v>576</v>
      </c>
      <c r="C30" s="1080"/>
      <c r="D30" s="1080"/>
      <c r="E30" s="1090">
        <f>SUM(E31:E34)</f>
        <v>1224310</v>
      </c>
      <c r="F30" s="1091">
        <f>SUM(F31:F34)</f>
        <v>1062310</v>
      </c>
      <c r="G30" s="702">
        <f>SUM(F30/E30)</f>
        <v>0.8676805710971894</v>
      </c>
      <c r="J30" s="1073"/>
      <c r="K30" s="1073">
        <f>F14</f>
        <v>126000</v>
      </c>
    </row>
    <row r="31" spans="1:11" ht="12">
      <c r="A31" s="1056"/>
      <c r="B31" s="1057" t="s">
        <v>572</v>
      </c>
      <c r="C31" s="1080">
        <v>801</v>
      </c>
      <c r="D31" s="1096">
        <v>80101</v>
      </c>
      <c r="E31" s="1060">
        <v>1115470</v>
      </c>
      <c r="F31" s="1061">
        <v>965470</v>
      </c>
      <c r="G31" s="707">
        <f>SUM(F31/E31)</f>
        <v>0.8655275354783185</v>
      </c>
      <c r="J31" s="1073"/>
      <c r="K31" s="1073">
        <f>F18</f>
        <v>0</v>
      </c>
    </row>
    <row r="32" spans="1:11" ht="12">
      <c r="A32" s="1056"/>
      <c r="B32" s="1057" t="s">
        <v>573</v>
      </c>
      <c r="C32" s="1080">
        <v>801</v>
      </c>
      <c r="D32" s="1096">
        <v>80103</v>
      </c>
      <c r="E32" s="1060">
        <v>87000</v>
      </c>
      <c r="F32" s="1061">
        <v>75000</v>
      </c>
      <c r="G32" s="707">
        <f>SUM(F32/E32)</f>
        <v>0.8620689655172413</v>
      </c>
      <c r="J32" s="1073"/>
      <c r="K32" s="1073">
        <f>F22</f>
        <v>0</v>
      </c>
    </row>
    <row r="33" spans="1:7" ht="12">
      <c r="A33" s="1056"/>
      <c r="B33" s="1057" t="s">
        <v>574</v>
      </c>
      <c r="C33" s="1080">
        <v>801</v>
      </c>
      <c r="D33" s="1059">
        <v>80146</v>
      </c>
      <c r="E33" s="1060">
        <v>11600</v>
      </c>
      <c r="F33" s="1061">
        <v>11600</v>
      </c>
      <c r="G33" s="707">
        <f>SUM(F33/E33)</f>
        <v>1</v>
      </c>
    </row>
    <row r="34" spans="1:10" ht="12">
      <c r="A34" s="1088"/>
      <c r="B34" s="1069" t="s">
        <v>575</v>
      </c>
      <c r="C34" s="1070">
        <v>854</v>
      </c>
      <c r="D34" s="1084">
        <v>85415</v>
      </c>
      <c r="E34" s="1071">
        <v>10240</v>
      </c>
      <c r="F34" s="1072">
        <v>10240</v>
      </c>
      <c r="G34" s="712">
        <f>SUM(F34/E34)</f>
        <v>1</v>
      </c>
      <c r="J34" s="1073"/>
    </row>
    <row r="35" spans="1:7" ht="12">
      <c r="A35" s="1056"/>
      <c r="B35" s="1057"/>
      <c r="C35" s="1059"/>
      <c r="D35" s="1059"/>
      <c r="E35" s="1060"/>
      <c r="F35" s="1061"/>
      <c r="G35" s="707"/>
    </row>
    <row r="36" spans="1:7" ht="12">
      <c r="A36" s="1056">
        <v>6</v>
      </c>
      <c r="B36" s="1057" t="s">
        <v>577</v>
      </c>
      <c r="C36" s="1059"/>
      <c r="D36" s="1059"/>
      <c r="E36" s="1062">
        <f>SUM(E37:E41)</f>
        <v>2706737</v>
      </c>
      <c r="F36" s="1063">
        <f>SUM(F37:F41)</f>
        <v>2144386.79</v>
      </c>
      <c r="G36" s="702">
        <f aca="true" t="shared" si="0" ref="G36:G41">SUM(F36/E36)</f>
        <v>0.7922405427642213</v>
      </c>
    </row>
    <row r="37" spans="1:7" ht="12">
      <c r="A37" s="1056"/>
      <c r="B37" s="1057" t="s">
        <v>572</v>
      </c>
      <c r="C37" s="1059">
        <v>801</v>
      </c>
      <c r="D37" s="1059">
        <v>80101</v>
      </c>
      <c r="E37" s="1060">
        <v>2544687</v>
      </c>
      <c r="F37" s="1061">
        <v>1999999.07</v>
      </c>
      <c r="G37" s="707">
        <f t="shared" si="0"/>
        <v>0.7859509126269754</v>
      </c>
    </row>
    <row r="38" spans="1:7" ht="12">
      <c r="A38" s="1056"/>
      <c r="B38" s="1057" t="s">
        <v>578</v>
      </c>
      <c r="C38" s="1059">
        <v>801</v>
      </c>
      <c r="D38" s="1059">
        <v>80101</v>
      </c>
      <c r="E38" s="1060">
        <v>90000</v>
      </c>
      <c r="F38" s="1061">
        <v>88967.72</v>
      </c>
      <c r="G38" s="707">
        <f t="shared" si="0"/>
        <v>0.9885302222222222</v>
      </c>
    </row>
    <row r="39" spans="1:7" ht="12">
      <c r="A39" s="1056"/>
      <c r="B39" s="1057" t="s">
        <v>573</v>
      </c>
      <c r="C39" s="1059">
        <v>801</v>
      </c>
      <c r="D39" s="1059">
        <v>80103</v>
      </c>
      <c r="E39" s="1060">
        <v>30000</v>
      </c>
      <c r="F39" s="1061">
        <v>17470</v>
      </c>
      <c r="G39" s="707">
        <f t="shared" si="0"/>
        <v>0.5823333333333334</v>
      </c>
    </row>
    <row r="40" spans="1:7" ht="12">
      <c r="A40" s="1056"/>
      <c r="B40" s="1057" t="s">
        <v>574</v>
      </c>
      <c r="C40" s="1059">
        <v>801</v>
      </c>
      <c r="D40" s="1059">
        <v>80146</v>
      </c>
      <c r="E40" s="1060">
        <v>16100</v>
      </c>
      <c r="F40" s="1061">
        <f>16100-4100</f>
        <v>12000</v>
      </c>
      <c r="G40" s="707">
        <f t="shared" si="0"/>
        <v>0.7453416149068323</v>
      </c>
    </row>
    <row r="41" spans="1:7" ht="12">
      <c r="A41" s="1088"/>
      <c r="B41" s="1069" t="s">
        <v>575</v>
      </c>
      <c r="C41" s="1070">
        <v>854</v>
      </c>
      <c r="D41" s="1084">
        <v>85415</v>
      </c>
      <c r="E41" s="1071">
        <v>25950</v>
      </c>
      <c r="F41" s="1072">
        <v>25950</v>
      </c>
      <c r="G41" s="712">
        <f t="shared" si="0"/>
        <v>1</v>
      </c>
    </row>
    <row r="42" spans="1:7" ht="12">
      <c r="A42" s="1056"/>
      <c r="B42" s="1057"/>
      <c r="C42" s="1059"/>
      <c r="D42" s="1059"/>
      <c r="E42" s="1060"/>
      <c r="F42" s="1061"/>
      <c r="G42" s="707"/>
    </row>
    <row r="43" spans="1:7" ht="12">
      <c r="A43" s="1056">
        <v>7</v>
      </c>
      <c r="B43" s="1057" t="s">
        <v>579</v>
      </c>
      <c r="C43" s="1059"/>
      <c r="D43" s="1059"/>
      <c r="E43" s="1062">
        <f>SUM(E44:E49)</f>
        <v>1372727</v>
      </c>
      <c r="F43" s="1063">
        <f>SUM(F44:F49)</f>
        <v>1113426.0699999998</v>
      </c>
      <c r="G43" s="702">
        <f aca="true" t="shared" si="1" ref="G43:G49">SUM(F43/E43)</f>
        <v>0.8111052452526976</v>
      </c>
    </row>
    <row r="44" spans="1:7" ht="12">
      <c r="A44" s="1056"/>
      <c r="B44" s="1057" t="s">
        <v>572</v>
      </c>
      <c r="C44" s="1059">
        <v>801</v>
      </c>
      <c r="D44" s="1059">
        <v>80101</v>
      </c>
      <c r="E44" s="1060">
        <v>1217902</v>
      </c>
      <c r="F44" s="1061">
        <v>974901.07</v>
      </c>
      <c r="G44" s="707">
        <f t="shared" si="1"/>
        <v>0.8004757936188626</v>
      </c>
    </row>
    <row r="45" spans="1:7" ht="12">
      <c r="A45" s="1056"/>
      <c r="B45" s="1057" t="s">
        <v>573</v>
      </c>
      <c r="C45" s="1059">
        <v>801</v>
      </c>
      <c r="D45" s="1059">
        <v>80103</v>
      </c>
      <c r="E45" s="1060">
        <v>56000</v>
      </c>
      <c r="F45" s="1061">
        <v>43700</v>
      </c>
      <c r="G45" s="707">
        <f t="shared" si="1"/>
        <v>0.7803571428571429</v>
      </c>
    </row>
    <row r="46" spans="1:7" ht="12">
      <c r="A46" s="1242"/>
      <c r="B46" s="1057" t="s">
        <v>574</v>
      </c>
      <c r="C46" s="1059">
        <v>801</v>
      </c>
      <c r="D46" s="1059">
        <v>80146</v>
      </c>
      <c r="E46" s="1060">
        <v>4300</v>
      </c>
      <c r="F46" s="1061">
        <v>4300</v>
      </c>
      <c r="G46" s="707">
        <f t="shared" si="1"/>
        <v>1</v>
      </c>
    </row>
    <row r="47" spans="1:7" ht="12">
      <c r="A47" s="1056"/>
      <c r="B47" s="1097" t="s">
        <v>580</v>
      </c>
      <c r="C47" s="1059">
        <v>801</v>
      </c>
      <c r="D47" s="1059">
        <v>80148</v>
      </c>
      <c r="E47" s="1060">
        <v>68285</v>
      </c>
      <c r="F47" s="1061">
        <v>64285</v>
      </c>
      <c r="G47" s="707">
        <f t="shared" si="1"/>
        <v>0.9414219814014791</v>
      </c>
    </row>
    <row r="48" spans="1:7" ht="12">
      <c r="A48" s="1056"/>
      <c r="B48" s="1097" t="s">
        <v>581</v>
      </c>
      <c r="C48" s="1096">
        <v>852</v>
      </c>
      <c r="D48" s="1059">
        <v>85295</v>
      </c>
      <c r="E48" s="1060">
        <v>6000</v>
      </c>
      <c r="F48" s="1061">
        <v>6000</v>
      </c>
      <c r="G48" s="707">
        <f t="shared" si="1"/>
        <v>1</v>
      </c>
    </row>
    <row r="49" spans="1:7" ht="12">
      <c r="A49" s="1088"/>
      <c r="B49" s="1098" t="s">
        <v>575</v>
      </c>
      <c r="C49" s="1070">
        <v>854</v>
      </c>
      <c r="D49" s="1084">
        <v>85415</v>
      </c>
      <c r="E49" s="1071">
        <v>20240</v>
      </c>
      <c r="F49" s="1072">
        <v>20240</v>
      </c>
      <c r="G49" s="712">
        <f t="shared" si="1"/>
        <v>1</v>
      </c>
    </row>
    <row r="50" spans="1:7" ht="12">
      <c r="A50" s="1056"/>
      <c r="B50" s="1057"/>
      <c r="C50" s="1059"/>
      <c r="D50" s="1059"/>
      <c r="E50" s="1060"/>
      <c r="F50" s="1061"/>
      <c r="G50" s="707"/>
    </row>
    <row r="51" spans="1:7" ht="12">
      <c r="A51" s="1056">
        <v>8</v>
      </c>
      <c r="B51" s="1057" t="s">
        <v>582</v>
      </c>
      <c r="C51" s="1059"/>
      <c r="D51" s="1059"/>
      <c r="E51" s="1062">
        <f>SUM(E52:E56)</f>
        <v>6428912</v>
      </c>
      <c r="F51" s="1063">
        <f>SUM(F52:F56)</f>
        <v>5238898.01</v>
      </c>
      <c r="G51" s="702">
        <f aca="true" t="shared" si="2" ref="G51:G56">SUM(F51/E51)</f>
        <v>0.814896519037747</v>
      </c>
    </row>
    <row r="52" spans="1:7" ht="12">
      <c r="A52" s="1056"/>
      <c r="B52" s="1057" t="s">
        <v>572</v>
      </c>
      <c r="C52" s="1059">
        <v>801</v>
      </c>
      <c r="D52" s="1059">
        <v>80101</v>
      </c>
      <c r="E52" s="1060">
        <f>6218350+1672</f>
        <v>6220022</v>
      </c>
      <c r="F52" s="1061">
        <f>5043350+1672</f>
        <v>5045022</v>
      </c>
      <c r="G52" s="707">
        <f t="shared" si="2"/>
        <v>0.8110939157449926</v>
      </c>
    </row>
    <row r="53" spans="1:7" ht="12">
      <c r="A53" s="1056"/>
      <c r="B53" s="1057" t="s">
        <v>578</v>
      </c>
      <c r="C53" s="1059">
        <v>801</v>
      </c>
      <c r="D53" s="1059">
        <v>80101</v>
      </c>
      <c r="E53" s="1060">
        <v>95000</v>
      </c>
      <c r="F53" s="1061">
        <v>94986.01</v>
      </c>
      <c r="G53" s="707">
        <f t="shared" si="2"/>
        <v>0.9998527368421052</v>
      </c>
    </row>
    <row r="54" spans="1:7" ht="12">
      <c r="A54" s="1056"/>
      <c r="B54" s="1057" t="s">
        <v>573</v>
      </c>
      <c r="C54" s="1059">
        <v>801</v>
      </c>
      <c r="D54" s="1059">
        <v>80103</v>
      </c>
      <c r="E54" s="1060">
        <v>45000</v>
      </c>
      <c r="F54" s="1061">
        <v>35000</v>
      </c>
      <c r="G54" s="707">
        <f t="shared" si="2"/>
        <v>0.7777777777777778</v>
      </c>
    </row>
    <row r="55" spans="1:7" ht="12">
      <c r="A55" s="1056"/>
      <c r="B55" s="1057" t="s">
        <v>574</v>
      </c>
      <c r="C55" s="1059">
        <v>801</v>
      </c>
      <c r="D55" s="1059">
        <v>80146</v>
      </c>
      <c r="E55" s="1060">
        <v>31700</v>
      </c>
      <c r="F55" s="1061">
        <v>26700</v>
      </c>
      <c r="G55" s="707">
        <f t="shared" si="2"/>
        <v>0.8422712933753943</v>
      </c>
    </row>
    <row r="56" spans="1:7" ht="12">
      <c r="A56" s="1088"/>
      <c r="B56" s="1069" t="s">
        <v>575</v>
      </c>
      <c r="C56" s="1070">
        <v>854</v>
      </c>
      <c r="D56" s="1084">
        <v>85415</v>
      </c>
      <c r="E56" s="1071">
        <v>37190</v>
      </c>
      <c r="F56" s="1072">
        <v>37190</v>
      </c>
      <c r="G56" s="712">
        <f t="shared" si="2"/>
        <v>1</v>
      </c>
    </row>
    <row r="57" spans="1:7" ht="12">
      <c r="A57" s="1056"/>
      <c r="B57" s="1057"/>
      <c r="C57" s="1059"/>
      <c r="D57" s="1059"/>
      <c r="E57" s="1060"/>
      <c r="F57" s="1061"/>
      <c r="G57" s="707"/>
    </row>
    <row r="58" spans="1:7" ht="12">
      <c r="A58" s="1056">
        <v>9</v>
      </c>
      <c r="B58" s="1057" t="s">
        <v>583</v>
      </c>
      <c r="C58" s="1059"/>
      <c r="D58" s="1059"/>
      <c r="E58" s="1062">
        <f>SUM(E59:E62)</f>
        <v>1976223</v>
      </c>
      <c r="F58" s="1063">
        <f>SUM(F59:F62)</f>
        <v>1501240</v>
      </c>
      <c r="G58" s="702">
        <f>SUM(F58/E58)</f>
        <v>0.7596511122479599</v>
      </c>
    </row>
    <row r="59" spans="1:7" ht="12">
      <c r="A59" s="1056"/>
      <c r="B59" s="1057" t="s">
        <v>572</v>
      </c>
      <c r="C59" s="1059">
        <v>801</v>
      </c>
      <c r="D59" s="1059">
        <v>80101</v>
      </c>
      <c r="E59" s="1060">
        <v>1839983</v>
      </c>
      <c r="F59" s="1061">
        <v>1396000</v>
      </c>
      <c r="G59" s="707">
        <f>SUM(F59/E59)</f>
        <v>0.7587026619267678</v>
      </c>
    </row>
    <row r="60" spans="1:7" ht="12">
      <c r="A60" s="1056"/>
      <c r="B60" s="1057" t="s">
        <v>573</v>
      </c>
      <c r="C60" s="1059">
        <v>801</v>
      </c>
      <c r="D60" s="1059">
        <v>80103</v>
      </c>
      <c r="E60" s="1060">
        <v>110000</v>
      </c>
      <c r="F60" s="1061">
        <v>79000</v>
      </c>
      <c r="G60" s="707">
        <f>SUM(F60/E60)</f>
        <v>0.7181818181818181</v>
      </c>
    </row>
    <row r="61" spans="1:7" ht="12">
      <c r="A61" s="1056"/>
      <c r="B61" s="1057" t="s">
        <v>574</v>
      </c>
      <c r="C61" s="1059">
        <v>801</v>
      </c>
      <c r="D61" s="1059">
        <v>80146</v>
      </c>
      <c r="E61" s="1060">
        <v>6000</v>
      </c>
      <c r="F61" s="1061">
        <v>6000</v>
      </c>
      <c r="G61" s="707">
        <f>SUM(F61/E61)</f>
        <v>1</v>
      </c>
    </row>
    <row r="62" spans="1:7" ht="12">
      <c r="A62" s="1088"/>
      <c r="B62" s="1069" t="s">
        <v>575</v>
      </c>
      <c r="C62" s="1070">
        <v>854</v>
      </c>
      <c r="D62" s="1084">
        <v>85415</v>
      </c>
      <c r="E62" s="1071">
        <v>20240</v>
      </c>
      <c r="F62" s="1072">
        <v>20240</v>
      </c>
      <c r="G62" s="712">
        <f>SUM(F62/E62)</f>
        <v>1</v>
      </c>
    </row>
    <row r="63" spans="1:7" ht="12">
      <c r="A63" s="1056"/>
      <c r="B63" s="1057"/>
      <c r="C63" s="1059"/>
      <c r="D63" s="1059"/>
      <c r="E63" s="1060"/>
      <c r="F63" s="1061"/>
      <c r="G63" s="707"/>
    </row>
    <row r="64" spans="1:7" ht="12">
      <c r="A64" s="1056">
        <v>10</v>
      </c>
      <c r="B64" s="1057" t="s">
        <v>584</v>
      </c>
      <c r="C64" s="1059"/>
      <c r="D64" s="1059"/>
      <c r="E64" s="1062">
        <f>SUM(E65:E68)</f>
        <v>2358730</v>
      </c>
      <c r="F64" s="1063">
        <f>SUM(F65:F68)</f>
        <v>1824970</v>
      </c>
      <c r="G64" s="702">
        <f>SUM(F64/E64)</f>
        <v>0.7737087330894168</v>
      </c>
    </row>
    <row r="65" spans="1:7" ht="12">
      <c r="A65" s="1056"/>
      <c r="B65" s="1057" t="s">
        <v>572</v>
      </c>
      <c r="C65" s="1059">
        <v>801</v>
      </c>
      <c r="D65" s="1059">
        <v>80101</v>
      </c>
      <c r="E65" s="1060">
        <v>2278160</v>
      </c>
      <c r="F65" s="1061">
        <v>1757360</v>
      </c>
      <c r="G65" s="707">
        <f>SUM(F65/E65)</f>
        <v>0.7713944586859571</v>
      </c>
    </row>
    <row r="66" spans="1:7" ht="12">
      <c r="A66" s="1056"/>
      <c r="B66" s="1057" t="s">
        <v>573</v>
      </c>
      <c r="C66" s="1059">
        <v>801</v>
      </c>
      <c r="D66" s="1059">
        <v>80103</v>
      </c>
      <c r="E66" s="1060">
        <v>54000</v>
      </c>
      <c r="F66" s="1061">
        <v>41040</v>
      </c>
      <c r="G66" s="707">
        <f>SUM(F66/E66)</f>
        <v>0.76</v>
      </c>
    </row>
    <row r="67" spans="1:7" ht="12">
      <c r="A67" s="1056"/>
      <c r="B67" s="1057" t="s">
        <v>574</v>
      </c>
      <c r="C67" s="1059">
        <v>801</v>
      </c>
      <c r="D67" s="1059">
        <v>80146</v>
      </c>
      <c r="E67" s="1060">
        <v>6200</v>
      </c>
      <c r="F67" s="1061">
        <v>6200</v>
      </c>
      <c r="G67" s="707">
        <f>SUM(F67/E67)</f>
        <v>1</v>
      </c>
    </row>
    <row r="68" spans="1:7" ht="12">
      <c r="A68" s="1088"/>
      <c r="B68" s="1069" t="s">
        <v>575</v>
      </c>
      <c r="C68" s="1070">
        <v>854</v>
      </c>
      <c r="D68" s="1084">
        <v>85415</v>
      </c>
      <c r="E68" s="1071">
        <v>20370</v>
      </c>
      <c r="F68" s="1072">
        <v>20370</v>
      </c>
      <c r="G68" s="712">
        <f>SUM(F68/E68)</f>
        <v>1</v>
      </c>
    </row>
    <row r="69" spans="1:7" ht="12">
      <c r="A69" s="1087"/>
      <c r="B69" s="1075"/>
      <c r="C69" s="1076"/>
      <c r="D69" s="1076"/>
      <c r="E69" s="1077"/>
      <c r="F69" s="1099"/>
      <c r="G69" s="856"/>
    </row>
    <row r="70" spans="1:7" ht="12">
      <c r="A70" s="1056">
        <v>11</v>
      </c>
      <c r="B70" s="1057" t="s">
        <v>585</v>
      </c>
      <c r="C70" s="1059"/>
      <c r="D70" s="1059"/>
      <c r="E70" s="1062">
        <f>SUM(E71:E73)</f>
        <v>744100</v>
      </c>
      <c r="F70" s="1063">
        <f>SUM(F71:F73)</f>
        <v>577100</v>
      </c>
      <c r="G70" s="702">
        <f>SUM(F70/E70)</f>
        <v>0.7755678000268781</v>
      </c>
    </row>
    <row r="71" spans="1:7" ht="12">
      <c r="A71" s="1056"/>
      <c r="B71" s="1057" t="s">
        <v>572</v>
      </c>
      <c r="C71" s="1059">
        <v>801</v>
      </c>
      <c r="D71" s="1059">
        <v>80104</v>
      </c>
      <c r="E71" s="1060">
        <v>739300</v>
      </c>
      <c r="F71" s="1061">
        <v>572300</v>
      </c>
      <c r="G71" s="707">
        <f>SUM(F71/E71)</f>
        <v>0.7741106452049236</v>
      </c>
    </row>
    <row r="72" spans="1:7" ht="12">
      <c r="A72" s="1056"/>
      <c r="B72" s="1057" t="s">
        <v>574</v>
      </c>
      <c r="C72" s="1059">
        <v>801</v>
      </c>
      <c r="D72" s="1059">
        <v>80146</v>
      </c>
      <c r="E72" s="1060">
        <v>1800</v>
      </c>
      <c r="F72" s="1061">
        <v>1800</v>
      </c>
      <c r="G72" s="707">
        <f>SUM(F72/E72)</f>
        <v>1</v>
      </c>
    </row>
    <row r="73" spans="1:7" ht="12.75" thickBot="1">
      <c r="A73" s="1054"/>
      <c r="B73" s="1342" t="s">
        <v>581</v>
      </c>
      <c r="C73" s="1055">
        <v>852</v>
      </c>
      <c r="D73" s="1055">
        <v>85295</v>
      </c>
      <c r="E73" s="1100">
        <v>3000</v>
      </c>
      <c r="F73" s="1101">
        <v>3000</v>
      </c>
      <c r="G73" s="717">
        <f>SUM(F73/E73)</f>
        <v>1</v>
      </c>
    </row>
    <row r="74" spans="1:7" s="1150" customFormat="1" ht="12">
      <c r="A74" s="1135">
        <v>1</v>
      </c>
      <c r="B74" s="1136">
        <v>2</v>
      </c>
      <c r="C74" s="1136">
        <v>3</v>
      </c>
      <c r="D74" s="1136">
        <v>4</v>
      </c>
      <c r="E74" s="1137">
        <v>5</v>
      </c>
      <c r="F74" s="1137">
        <v>6</v>
      </c>
      <c r="G74" s="1138">
        <v>7</v>
      </c>
    </row>
    <row r="75" spans="1:7" ht="12">
      <c r="A75" s="1056"/>
      <c r="B75" s="1059"/>
      <c r="C75" s="1059"/>
      <c r="D75" s="1059"/>
      <c r="E75" s="1102"/>
      <c r="F75" s="1102"/>
      <c r="G75" s="1103"/>
    </row>
    <row r="76" spans="1:7" ht="12">
      <c r="A76" s="1056">
        <v>12</v>
      </c>
      <c r="B76" s="1057" t="s">
        <v>586</v>
      </c>
      <c r="C76" s="1059"/>
      <c r="D76" s="1059"/>
      <c r="E76" s="1062">
        <f>SUM(E77:E79)</f>
        <v>965300</v>
      </c>
      <c r="F76" s="1063">
        <f>SUM(F77:F79)</f>
        <v>855300</v>
      </c>
      <c r="G76" s="702">
        <f>SUM(F76/E76)</f>
        <v>0.8860457888739252</v>
      </c>
    </row>
    <row r="77" spans="1:7" ht="12">
      <c r="A77" s="1056"/>
      <c r="B77" s="1057" t="s">
        <v>572</v>
      </c>
      <c r="C77" s="1059">
        <v>801</v>
      </c>
      <c r="D77" s="1059">
        <v>80104</v>
      </c>
      <c r="E77" s="1060">
        <v>961600</v>
      </c>
      <c r="F77" s="1061">
        <v>851600</v>
      </c>
      <c r="G77" s="707">
        <f>SUM(F77/E77)</f>
        <v>0.8856073211314476</v>
      </c>
    </row>
    <row r="78" spans="1:7" ht="12">
      <c r="A78" s="1056"/>
      <c r="B78" s="1057" t="s">
        <v>574</v>
      </c>
      <c r="C78" s="1059">
        <v>801</v>
      </c>
      <c r="D78" s="1059">
        <v>80146</v>
      </c>
      <c r="E78" s="1060">
        <v>2500</v>
      </c>
      <c r="F78" s="1061">
        <v>2500</v>
      </c>
      <c r="G78" s="707">
        <f>SUM(F78/E78)</f>
        <v>1</v>
      </c>
    </row>
    <row r="79" spans="1:7" ht="12">
      <c r="A79" s="1104"/>
      <c r="B79" s="1098" t="s">
        <v>581</v>
      </c>
      <c r="C79" s="1070">
        <v>852</v>
      </c>
      <c r="D79" s="1070">
        <v>85295</v>
      </c>
      <c r="E79" s="1071">
        <v>1200</v>
      </c>
      <c r="F79" s="1072">
        <v>1200</v>
      </c>
      <c r="G79" s="712">
        <f>SUM(F79/E79)</f>
        <v>1</v>
      </c>
    </row>
    <row r="80" spans="1:7" ht="12">
      <c r="A80" s="1056"/>
      <c r="B80" s="1057"/>
      <c r="C80" s="1059"/>
      <c r="D80" s="1059"/>
      <c r="E80" s="1060"/>
      <c r="F80" s="1061"/>
      <c r="G80" s="707"/>
    </row>
    <row r="81" spans="1:7" ht="12">
      <c r="A81" s="1056">
        <v>13</v>
      </c>
      <c r="B81" s="1057" t="s">
        <v>587</v>
      </c>
      <c r="C81" s="1059"/>
      <c r="D81" s="1059"/>
      <c r="E81" s="1062">
        <f>SUM(E82:E84)</f>
        <v>839200</v>
      </c>
      <c r="F81" s="1063">
        <f>SUM(F82:F84)</f>
        <v>692700</v>
      </c>
      <c r="G81" s="702">
        <f>SUM(F81/E81)</f>
        <v>0.8254289799809342</v>
      </c>
    </row>
    <row r="82" spans="1:7" ht="12">
      <c r="A82" s="1056"/>
      <c r="B82" s="1057" t="s">
        <v>572</v>
      </c>
      <c r="C82" s="1059">
        <v>801</v>
      </c>
      <c r="D82" s="1059">
        <v>80104</v>
      </c>
      <c r="E82" s="1060">
        <v>826500</v>
      </c>
      <c r="F82" s="1061">
        <v>680000</v>
      </c>
      <c r="G82" s="707">
        <f>SUM(F82/E82)</f>
        <v>0.822746521476104</v>
      </c>
    </row>
    <row r="83" spans="1:7" ht="12">
      <c r="A83" s="1056"/>
      <c r="B83" s="1097" t="s">
        <v>574</v>
      </c>
      <c r="C83" s="1080">
        <v>801</v>
      </c>
      <c r="D83" s="1080">
        <v>80146</v>
      </c>
      <c r="E83" s="1092">
        <v>2700</v>
      </c>
      <c r="F83" s="1094">
        <v>2700</v>
      </c>
      <c r="G83" s="707">
        <f>SUM(F83/E83)</f>
        <v>1</v>
      </c>
    </row>
    <row r="84" spans="1:7" ht="12">
      <c r="A84" s="1088"/>
      <c r="B84" s="1098" t="s">
        <v>581</v>
      </c>
      <c r="C84" s="1070">
        <v>852</v>
      </c>
      <c r="D84" s="1070">
        <v>85295</v>
      </c>
      <c r="E84" s="1071">
        <v>10000</v>
      </c>
      <c r="F84" s="1072">
        <v>10000</v>
      </c>
      <c r="G84" s="712">
        <f>SUM(F84/E84)</f>
        <v>1</v>
      </c>
    </row>
    <row r="85" spans="1:7" ht="12">
      <c r="A85" s="1056"/>
      <c r="B85" s="1057"/>
      <c r="C85" s="1059"/>
      <c r="D85" s="1059"/>
      <c r="E85" s="1060"/>
      <c r="F85" s="1061"/>
      <c r="G85" s="707"/>
    </row>
    <row r="86" spans="1:7" ht="12">
      <c r="A86" s="1056">
        <v>14</v>
      </c>
      <c r="B86" s="1057" t="s">
        <v>588</v>
      </c>
      <c r="C86" s="1059"/>
      <c r="D86" s="1059"/>
      <c r="E86" s="1062">
        <f>SUM(E87:E89)</f>
        <v>923900</v>
      </c>
      <c r="F86" s="1063">
        <f>SUM(F87:F89)</f>
        <v>793900</v>
      </c>
      <c r="G86" s="702">
        <f>SUM(F86/E86)</f>
        <v>0.8592921311830285</v>
      </c>
    </row>
    <row r="87" spans="1:7" ht="12">
      <c r="A87" s="1056"/>
      <c r="B87" s="1057" t="s">
        <v>572</v>
      </c>
      <c r="C87" s="1059">
        <v>801</v>
      </c>
      <c r="D87" s="1059">
        <v>80104</v>
      </c>
      <c r="E87" s="1060">
        <v>914900</v>
      </c>
      <c r="F87" s="1061">
        <v>784900</v>
      </c>
      <c r="G87" s="707">
        <f>SUM(F87/E87)</f>
        <v>0.8579079680839437</v>
      </c>
    </row>
    <row r="88" spans="1:7" ht="12">
      <c r="A88" s="1056"/>
      <c r="B88" s="1057" t="s">
        <v>574</v>
      </c>
      <c r="C88" s="1059">
        <v>801</v>
      </c>
      <c r="D88" s="1059">
        <v>80146</v>
      </c>
      <c r="E88" s="1060">
        <v>3000</v>
      </c>
      <c r="F88" s="1061">
        <v>3000</v>
      </c>
      <c r="G88" s="707">
        <f>SUM(F88/E88)</f>
        <v>1</v>
      </c>
    </row>
    <row r="89" spans="1:7" ht="12">
      <c r="A89" s="1088"/>
      <c r="B89" s="1098" t="s">
        <v>581</v>
      </c>
      <c r="C89" s="1070">
        <v>852</v>
      </c>
      <c r="D89" s="1070">
        <v>85295</v>
      </c>
      <c r="E89" s="1071">
        <v>6000</v>
      </c>
      <c r="F89" s="1072">
        <v>6000</v>
      </c>
      <c r="G89" s="712">
        <f>SUM(F89/E89)</f>
        <v>1</v>
      </c>
    </row>
    <row r="90" spans="1:7" ht="12">
      <c r="A90" s="1056"/>
      <c r="B90" s="1057"/>
      <c r="C90" s="1059"/>
      <c r="D90" s="1059"/>
      <c r="E90" s="1060"/>
      <c r="F90" s="1061"/>
      <c r="G90" s="707"/>
    </row>
    <row r="91" spans="1:7" ht="12">
      <c r="A91" s="1056">
        <v>15</v>
      </c>
      <c r="B91" s="1057" t="s">
        <v>589</v>
      </c>
      <c r="C91" s="1059"/>
      <c r="D91" s="1059"/>
      <c r="E91" s="1062">
        <f>SUM(E92:E94)</f>
        <v>834300</v>
      </c>
      <c r="F91" s="1063">
        <f>SUM(F92:F94)</f>
        <v>694300</v>
      </c>
      <c r="G91" s="702">
        <f>SUM(F91/E91)</f>
        <v>0.8321946542011267</v>
      </c>
    </row>
    <row r="92" spans="1:7" ht="12">
      <c r="A92" s="1056"/>
      <c r="B92" s="1057" t="s">
        <v>572</v>
      </c>
      <c r="C92" s="1059">
        <v>801</v>
      </c>
      <c r="D92" s="1059">
        <v>80104</v>
      </c>
      <c r="E92" s="1060">
        <v>825800</v>
      </c>
      <c r="F92" s="1061">
        <v>685800</v>
      </c>
      <c r="G92" s="707">
        <f>SUM(F92/E92)</f>
        <v>0.8304674255267619</v>
      </c>
    </row>
    <row r="93" spans="1:7" ht="12">
      <c r="A93" s="1056"/>
      <c r="B93" s="1057" t="s">
        <v>574</v>
      </c>
      <c r="C93" s="1059">
        <v>801</v>
      </c>
      <c r="D93" s="1059">
        <v>80146</v>
      </c>
      <c r="E93" s="1060">
        <v>2500</v>
      </c>
      <c r="F93" s="1061">
        <v>2500</v>
      </c>
      <c r="G93" s="707">
        <f>SUM(F93/E93)</f>
        <v>1</v>
      </c>
    </row>
    <row r="94" spans="1:7" ht="12">
      <c r="A94" s="1088"/>
      <c r="B94" s="1098" t="s">
        <v>581</v>
      </c>
      <c r="C94" s="1070">
        <v>852</v>
      </c>
      <c r="D94" s="1070">
        <v>85295</v>
      </c>
      <c r="E94" s="1071">
        <v>6000</v>
      </c>
      <c r="F94" s="1072">
        <v>6000</v>
      </c>
      <c r="G94" s="712">
        <f>SUM(F94/E94)</f>
        <v>1</v>
      </c>
    </row>
    <row r="95" spans="1:7" ht="12">
      <c r="A95" s="1056"/>
      <c r="B95" s="1057"/>
      <c r="C95" s="1059"/>
      <c r="D95" s="1059"/>
      <c r="E95" s="1060"/>
      <c r="F95" s="1061"/>
      <c r="G95" s="707"/>
    </row>
    <row r="96" spans="1:7" ht="12">
      <c r="A96" s="1056">
        <v>16</v>
      </c>
      <c r="B96" s="1057" t="s">
        <v>590</v>
      </c>
      <c r="C96" s="1059"/>
      <c r="D96" s="1059"/>
      <c r="E96" s="1062">
        <f>SUM(E97:E99)</f>
        <v>819300</v>
      </c>
      <c r="F96" s="1063">
        <f>SUM(F97:F99)</f>
        <v>639300</v>
      </c>
      <c r="G96" s="702">
        <f>SUM(F96/E96)</f>
        <v>0.7803002563163677</v>
      </c>
    </row>
    <row r="97" spans="1:7" ht="12">
      <c r="A97" s="1056"/>
      <c r="B97" s="1057" t="s">
        <v>572</v>
      </c>
      <c r="C97" s="1059">
        <v>801</v>
      </c>
      <c r="D97" s="1059">
        <v>80104</v>
      </c>
      <c r="E97" s="1060">
        <v>804800</v>
      </c>
      <c r="F97" s="1061">
        <v>624800</v>
      </c>
      <c r="G97" s="707">
        <f>SUM(F97/E97)</f>
        <v>0.7763419483101391</v>
      </c>
    </row>
    <row r="98" spans="1:7" ht="12">
      <c r="A98" s="1056"/>
      <c r="B98" s="1057" t="s">
        <v>574</v>
      </c>
      <c r="C98" s="1059">
        <v>801</v>
      </c>
      <c r="D98" s="1059">
        <v>80146</v>
      </c>
      <c r="E98" s="1060">
        <v>2500</v>
      </c>
      <c r="F98" s="1061">
        <v>2500</v>
      </c>
      <c r="G98" s="707">
        <f>SUM(F98/E98)</f>
        <v>1</v>
      </c>
    </row>
    <row r="99" spans="1:7" ht="12">
      <c r="A99" s="1104"/>
      <c r="B99" s="1098" t="s">
        <v>581</v>
      </c>
      <c r="C99" s="1070">
        <v>852</v>
      </c>
      <c r="D99" s="1070">
        <v>85295</v>
      </c>
      <c r="E99" s="1071">
        <v>12000</v>
      </c>
      <c r="F99" s="1072">
        <v>12000</v>
      </c>
      <c r="G99" s="712">
        <f>SUM(F99/E99)</f>
        <v>1</v>
      </c>
    </row>
    <row r="100" spans="1:7" ht="12">
      <c r="A100" s="1056"/>
      <c r="B100" s="1057"/>
      <c r="C100" s="1059"/>
      <c r="D100" s="1059"/>
      <c r="E100" s="1060"/>
      <c r="F100" s="1061"/>
      <c r="G100" s="707"/>
    </row>
    <row r="101" spans="1:7" ht="12">
      <c r="A101" s="1056">
        <v>17</v>
      </c>
      <c r="B101" s="1057" t="s">
        <v>591</v>
      </c>
      <c r="C101" s="1059"/>
      <c r="D101" s="1059"/>
      <c r="E101" s="1090">
        <f>SUM(E102:E105)</f>
        <v>1171681</v>
      </c>
      <c r="F101" s="1063">
        <f>SUM(F102:F105)</f>
        <v>991976.47</v>
      </c>
      <c r="G101" s="702">
        <f>SUM(F101/E101)</f>
        <v>0.8466267439687082</v>
      </c>
    </row>
    <row r="102" spans="1:7" ht="12">
      <c r="A102" s="1056"/>
      <c r="B102" s="1057" t="s">
        <v>572</v>
      </c>
      <c r="C102" s="1059">
        <v>801</v>
      </c>
      <c r="D102" s="1059">
        <v>80104</v>
      </c>
      <c r="E102" s="1077">
        <v>956404</v>
      </c>
      <c r="F102" s="1105">
        <v>776700</v>
      </c>
      <c r="G102" s="707">
        <f>SUM(F102/E102)</f>
        <v>0.8121045081367289</v>
      </c>
    </row>
    <row r="103" spans="1:7" ht="12">
      <c r="A103" s="1056"/>
      <c r="B103" s="1057" t="s">
        <v>578</v>
      </c>
      <c r="C103" s="1059">
        <v>801</v>
      </c>
      <c r="D103" s="1059">
        <v>80104</v>
      </c>
      <c r="E103" s="1106">
        <f>191581+7000-1704</f>
        <v>196877</v>
      </c>
      <c r="F103" s="1061">
        <v>196876.47</v>
      </c>
      <c r="G103" s="707">
        <f>SUM(F103/E103)</f>
        <v>0.9999973079638557</v>
      </c>
    </row>
    <row r="104" spans="1:7" ht="12">
      <c r="A104" s="1056"/>
      <c r="B104" s="1057" t="s">
        <v>574</v>
      </c>
      <c r="C104" s="1059">
        <v>801</v>
      </c>
      <c r="D104" s="1059">
        <v>80146</v>
      </c>
      <c r="E104" s="1060">
        <v>10400</v>
      </c>
      <c r="F104" s="1061">
        <v>10400</v>
      </c>
      <c r="G104" s="707">
        <f>SUM(F104/E104)</f>
        <v>1</v>
      </c>
    </row>
    <row r="105" spans="1:7" ht="12">
      <c r="A105" s="1088"/>
      <c r="B105" s="1098" t="s">
        <v>581</v>
      </c>
      <c r="C105" s="1070">
        <v>852</v>
      </c>
      <c r="D105" s="1070">
        <v>85295</v>
      </c>
      <c r="E105" s="1071">
        <v>8000</v>
      </c>
      <c r="F105" s="1072">
        <v>8000</v>
      </c>
      <c r="G105" s="712">
        <f>SUM(F105/E105)</f>
        <v>1</v>
      </c>
    </row>
    <row r="106" spans="1:7" ht="12">
      <c r="A106" s="1056"/>
      <c r="B106" s="1057"/>
      <c r="C106" s="1059"/>
      <c r="D106" s="1059"/>
      <c r="E106" s="1060"/>
      <c r="F106" s="1061"/>
      <c r="G106" s="707"/>
    </row>
    <row r="107" spans="1:7" ht="12">
      <c r="A107" s="1056">
        <v>18</v>
      </c>
      <c r="B107" s="1057" t="s">
        <v>592</v>
      </c>
      <c r="C107" s="1059"/>
      <c r="D107" s="1059"/>
      <c r="E107" s="1062">
        <f>SUM(E108:E110)</f>
        <v>422800</v>
      </c>
      <c r="F107" s="1063">
        <f>SUM(F108:F110)</f>
        <v>329800</v>
      </c>
      <c r="G107" s="702">
        <f>SUM(F107/E107)</f>
        <v>0.7800378429517503</v>
      </c>
    </row>
    <row r="108" spans="1:7" ht="12">
      <c r="A108" s="1056"/>
      <c r="B108" s="1057" t="s">
        <v>572</v>
      </c>
      <c r="C108" s="1059">
        <v>801</v>
      </c>
      <c r="D108" s="1059">
        <v>80104</v>
      </c>
      <c r="E108" s="1060">
        <v>418800</v>
      </c>
      <c r="F108" s="1061">
        <v>325800</v>
      </c>
      <c r="G108" s="707">
        <f>SUM(F108/E108)</f>
        <v>0.7779369627507163</v>
      </c>
    </row>
    <row r="109" spans="1:7" ht="12">
      <c r="A109" s="1056"/>
      <c r="B109" s="1057" t="s">
        <v>574</v>
      </c>
      <c r="C109" s="1059">
        <v>801</v>
      </c>
      <c r="D109" s="1059">
        <v>80146</v>
      </c>
      <c r="E109" s="1060">
        <v>1000</v>
      </c>
      <c r="F109" s="1061">
        <v>1000</v>
      </c>
      <c r="G109" s="707">
        <f>SUM(F109/E109)</f>
        <v>1</v>
      </c>
    </row>
    <row r="110" spans="1:7" ht="12">
      <c r="A110" s="1104"/>
      <c r="B110" s="1098" t="s">
        <v>581</v>
      </c>
      <c r="C110" s="1070">
        <v>852</v>
      </c>
      <c r="D110" s="1070">
        <v>85295</v>
      </c>
      <c r="E110" s="1071">
        <v>3000</v>
      </c>
      <c r="F110" s="1072">
        <v>3000</v>
      </c>
      <c r="G110" s="712">
        <f>SUM(F110/E110)</f>
        <v>1</v>
      </c>
    </row>
    <row r="111" spans="1:7" ht="12">
      <c r="A111" s="1056"/>
      <c r="B111" s="1057"/>
      <c r="C111" s="1059"/>
      <c r="D111" s="1059"/>
      <c r="E111" s="1060"/>
      <c r="F111" s="1061"/>
      <c r="G111" s="707"/>
    </row>
    <row r="112" spans="1:7" ht="12">
      <c r="A112" s="1056">
        <v>19</v>
      </c>
      <c r="B112" s="1057" t="s">
        <v>593</v>
      </c>
      <c r="C112" s="1059"/>
      <c r="D112" s="1059"/>
      <c r="E112" s="1062">
        <f>SUM(E113:E116)</f>
        <v>533900</v>
      </c>
      <c r="F112" s="1063">
        <f>SUM(F113:F116)</f>
        <v>446900</v>
      </c>
      <c r="G112" s="702">
        <f>SUM(F112/E112)</f>
        <v>0.8370481363551227</v>
      </c>
    </row>
    <row r="113" spans="1:7" ht="12">
      <c r="A113" s="1056"/>
      <c r="B113" s="1057" t="s">
        <v>572</v>
      </c>
      <c r="C113" s="1059">
        <v>801</v>
      </c>
      <c r="D113" s="1059">
        <v>80104</v>
      </c>
      <c r="E113" s="1060">
        <v>458539</v>
      </c>
      <c r="F113" s="1061">
        <v>371539</v>
      </c>
      <c r="G113" s="707">
        <f>SUM(F113/E113)</f>
        <v>0.8102669565729415</v>
      </c>
    </row>
    <row r="114" spans="1:7" ht="12">
      <c r="A114" s="1056"/>
      <c r="B114" s="1057" t="s">
        <v>578</v>
      </c>
      <c r="C114" s="1059">
        <v>801</v>
      </c>
      <c r="D114" s="1059">
        <v>80104</v>
      </c>
      <c r="E114" s="1060">
        <v>64061</v>
      </c>
      <c r="F114" s="1061">
        <v>64061</v>
      </c>
      <c r="G114" s="707">
        <f>SUM(F114/E114)</f>
        <v>1</v>
      </c>
    </row>
    <row r="115" spans="1:7" ht="12">
      <c r="A115" s="1056"/>
      <c r="B115" s="1057" t="s">
        <v>574</v>
      </c>
      <c r="C115" s="1059">
        <v>801</v>
      </c>
      <c r="D115" s="1059">
        <v>80146</v>
      </c>
      <c r="E115" s="1060">
        <v>1300</v>
      </c>
      <c r="F115" s="1061">
        <v>1300</v>
      </c>
      <c r="G115" s="707">
        <f>SUM(F115/E115)</f>
        <v>1</v>
      </c>
    </row>
    <row r="116" spans="1:7" ht="12">
      <c r="A116" s="1104"/>
      <c r="B116" s="1069" t="s">
        <v>574</v>
      </c>
      <c r="C116" s="1070">
        <v>852</v>
      </c>
      <c r="D116" s="1070">
        <v>85295</v>
      </c>
      <c r="E116" s="1071">
        <v>10000</v>
      </c>
      <c r="F116" s="1072">
        <v>10000</v>
      </c>
      <c r="G116" s="712">
        <f>SUM(F116/E116)</f>
        <v>1</v>
      </c>
    </row>
    <row r="117" spans="1:7" ht="12">
      <c r="A117" s="1056"/>
      <c r="B117" s="1057"/>
      <c r="C117" s="1059"/>
      <c r="D117" s="1059"/>
      <c r="E117" s="1060"/>
      <c r="F117" s="1061"/>
      <c r="G117" s="707"/>
    </row>
    <row r="118" spans="1:7" ht="12">
      <c r="A118" s="1056">
        <v>20</v>
      </c>
      <c r="B118" s="1057" t="s">
        <v>594</v>
      </c>
      <c r="C118" s="1059"/>
      <c r="D118" s="1059"/>
      <c r="E118" s="1062">
        <f>SUM(E119:E121)</f>
        <v>2933107</v>
      </c>
      <c r="F118" s="1063">
        <f>SUM(F119:F121)</f>
        <v>2290292.07</v>
      </c>
      <c r="G118" s="702">
        <f>SUM(F118/E118)</f>
        <v>0.7808416365308186</v>
      </c>
    </row>
    <row r="119" spans="1:7" ht="12">
      <c r="A119" s="1056"/>
      <c r="B119" s="1057" t="s">
        <v>572</v>
      </c>
      <c r="C119" s="1059">
        <v>801</v>
      </c>
      <c r="D119" s="1059">
        <v>80110</v>
      </c>
      <c r="E119" s="1060">
        <v>2897587</v>
      </c>
      <c r="F119" s="1061">
        <f>2247272.07+7500</f>
        <v>2254772.07</v>
      </c>
      <c r="G119" s="707">
        <f>SUM(F119/E119)</f>
        <v>0.778155089044781</v>
      </c>
    </row>
    <row r="120" spans="1:7" ht="12">
      <c r="A120" s="1056"/>
      <c r="B120" s="1057" t="s">
        <v>574</v>
      </c>
      <c r="C120" s="1059">
        <v>801</v>
      </c>
      <c r="D120" s="1059">
        <v>80146</v>
      </c>
      <c r="E120" s="1060">
        <v>25800</v>
      </c>
      <c r="F120" s="1061">
        <v>25800</v>
      </c>
      <c r="G120" s="707">
        <f>SUM(F120/E120)</f>
        <v>1</v>
      </c>
    </row>
    <row r="121" spans="1:7" ht="12">
      <c r="A121" s="1056"/>
      <c r="B121" s="1069" t="s">
        <v>575</v>
      </c>
      <c r="C121" s="1070">
        <v>854</v>
      </c>
      <c r="D121" s="1084">
        <v>85415</v>
      </c>
      <c r="E121" s="1060">
        <v>9720</v>
      </c>
      <c r="F121" s="1061">
        <v>9720</v>
      </c>
      <c r="G121" s="712">
        <f>SUM(F121/E121)</f>
        <v>1</v>
      </c>
    </row>
    <row r="122" spans="1:7" ht="12">
      <c r="A122" s="1087"/>
      <c r="B122" s="1075"/>
      <c r="C122" s="1076"/>
      <c r="D122" s="1076"/>
      <c r="E122" s="1077"/>
      <c r="F122" s="1099"/>
      <c r="G122" s="856"/>
    </row>
    <row r="123" spans="1:7" ht="12">
      <c r="A123" s="1056">
        <v>21</v>
      </c>
      <c r="B123" s="1057" t="s">
        <v>595</v>
      </c>
      <c r="C123" s="1059"/>
      <c r="D123" s="1059"/>
      <c r="E123" s="1062">
        <f>SUM(E124:E127)</f>
        <v>2660340</v>
      </c>
      <c r="F123" s="1063">
        <f>SUM(F124:F127)</f>
        <v>2249439.68</v>
      </c>
      <c r="G123" s="702">
        <f>SUM(F123/E123)</f>
        <v>0.8455459377372818</v>
      </c>
    </row>
    <row r="124" spans="1:7" ht="12">
      <c r="A124" s="1056"/>
      <c r="B124" s="1057" t="s">
        <v>572</v>
      </c>
      <c r="C124" s="1059">
        <v>801</v>
      </c>
      <c r="D124" s="1059">
        <v>80110</v>
      </c>
      <c r="E124" s="1060">
        <v>2607000</v>
      </c>
      <c r="F124" s="1061">
        <v>2197000</v>
      </c>
      <c r="G124" s="707">
        <f>SUM(F124/E124)</f>
        <v>0.8427311085538933</v>
      </c>
    </row>
    <row r="125" spans="1:7" ht="12">
      <c r="A125" s="1056"/>
      <c r="B125" s="1057" t="s">
        <v>578</v>
      </c>
      <c r="C125" s="1059">
        <v>801</v>
      </c>
      <c r="D125" s="1059">
        <v>80110</v>
      </c>
      <c r="E125" s="1060">
        <v>30000</v>
      </c>
      <c r="F125" s="1061">
        <v>29999.68</v>
      </c>
      <c r="G125" s="707">
        <f>SUM(F125/E125)</f>
        <v>0.9999893333333334</v>
      </c>
    </row>
    <row r="126" spans="1:7" ht="12">
      <c r="A126" s="1056"/>
      <c r="B126" s="1057" t="s">
        <v>574</v>
      </c>
      <c r="C126" s="1059">
        <v>801</v>
      </c>
      <c r="D126" s="1059">
        <v>80146</v>
      </c>
      <c r="E126" s="1060">
        <v>14400</v>
      </c>
      <c r="F126" s="1061">
        <v>13500</v>
      </c>
      <c r="G126" s="707">
        <f>SUM(F126/E126)</f>
        <v>0.9375</v>
      </c>
    </row>
    <row r="127" spans="1:7" ht="12">
      <c r="A127" s="1088"/>
      <c r="B127" s="1069" t="s">
        <v>575</v>
      </c>
      <c r="C127" s="1070">
        <v>854</v>
      </c>
      <c r="D127" s="1084">
        <v>85415</v>
      </c>
      <c r="E127" s="1071">
        <v>8940</v>
      </c>
      <c r="F127" s="1072">
        <v>8940</v>
      </c>
      <c r="G127" s="712">
        <f>SUM(F127/E127)</f>
        <v>1</v>
      </c>
    </row>
    <row r="128" spans="1:7" ht="12">
      <c r="A128" s="1056"/>
      <c r="B128" s="1057"/>
      <c r="C128" s="1059"/>
      <c r="D128" s="1059"/>
      <c r="E128" s="1060"/>
      <c r="F128" s="1061"/>
      <c r="G128" s="707"/>
    </row>
    <row r="129" spans="1:7" ht="12">
      <c r="A129" s="1056">
        <v>22</v>
      </c>
      <c r="B129" s="1057" t="s">
        <v>596</v>
      </c>
      <c r="C129" s="1059"/>
      <c r="D129" s="1059"/>
      <c r="E129" s="1062">
        <f>SUM(E130:E133)</f>
        <v>2009550</v>
      </c>
      <c r="F129" s="1063">
        <f>SUM(F130:F133)</f>
        <v>1728350</v>
      </c>
      <c r="G129" s="702">
        <f>SUM(F129/E129)</f>
        <v>0.8600681744669204</v>
      </c>
    </row>
    <row r="130" spans="1:7" ht="12">
      <c r="A130" s="1056"/>
      <c r="B130" s="1057" t="s">
        <v>572</v>
      </c>
      <c r="C130" s="1059">
        <v>801</v>
      </c>
      <c r="D130" s="1059">
        <v>80110</v>
      </c>
      <c r="E130" s="1060">
        <v>1930200</v>
      </c>
      <c r="F130" s="1061">
        <v>1713000</v>
      </c>
      <c r="G130" s="707">
        <f>SUM(F130/E130)</f>
        <v>0.8874728007460366</v>
      </c>
    </row>
    <row r="131" spans="1:7" ht="12">
      <c r="A131" s="1056"/>
      <c r="B131" s="1057" t="s">
        <v>578</v>
      </c>
      <c r="C131" s="1059">
        <v>801</v>
      </c>
      <c r="D131" s="1059">
        <v>80110</v>
      </c>
      <c r="E131" s="1060">
        <v>64000</v>
      </c>
      <c r="F131" s="1061">
        <v>0</v>
      </c>
      <c r="G131" s="707">
        <f>SUM(F131/E131)</f>
        <v>0</v>
      </c>
    </row>
    <row r="132" spans="1:7" ht="12">
      <c r="A132" s="1056"/>
      <c r="B132" s="1057" t="s">
        <v>574</v>
      </c>
      <c r="C132" s="1059">
        <v>801</v>
      </c>
      <c r="D132" s="1059">
        <v>80146</v>
      </c>
      <c r="E132" s="1060">
        <v>7700</v>
      </c>
      <c r="F132" s="1061">
        <v>7700</v>
      </c>
      <c r="G132" s="707">
        <f>SUM(F132/E132)</f>
        <v>1</v>
      </c>
    </row>
    <row r="133" spans="1:7" ht="12">
      <c r="A133" s="1088"/>
      <c r="B133" s="1069" t="s">
        <v>575</v>
      </c>
      <c r="C133" s="1070">
        <v>854</v>
      </c>
      <c r="D133" s="1084">
        <v>85415</v>
      </c>
      <c r="E133" s="1071">
        <v>7650</v>
      </c>
      <c r="F133" s="1072">
        <v>7650</v>
      </c>
      <c r="G133" s="712">
        <f>SUM(F133/E133)</f>
        <v>1</v>
      </c>
    </row>
    <row r="134" spans="1:7" ht="12">
      <c r="A134" s="1056"/>
      <c r="B134" s="1057"/>
      <c r="C134" s="1059"/>
      <c r="D134" s="1059"/>
      <c r="E134" s="1060"/>
      <c r="F134" s="1061"/>
      <c r="G134" s="707"/>
    </row>
    <row r="135" spans="1:7" ht="12">
      <c r="A135" s="1056">
        <v>23</v>
      </c>
      <c r="B135" s="1057" t="s">
        <v>597</v>
      </c>
      <c r="C135" s="1059"/>
      <c r="D135" s="1059"/>
      <c r="E135" s="1062">
        <f>SUM(E136:E138)</f>
        <v>283370</v>
      </c>
      <c r="F135" s="1063">
        <f>SUM(F136:F138)</f>
        <v>224370</v>
      </c>
      <c r="G135" s="702">
        <f>SUM(F135/E135)</f>
        <v>0.7917916504922893</v>
      </c>
    </row>
    <row r="136" spans="1:7" ht="12">
      <c r="A136" s="1056"/>
      <c r="B136" s="1057" t="s">
        <v>572</v>
      </c>
      <c r="C136" s="1059">
        <v>801</v>
      </c>
      <c r="D136" s="1059">
        <v>80110</v>
      </c>
      <c r="E136" s="1060">
        <v>280000</v>
      </c>
      <c r="F136" s="1061">
        <v>221000</v>
      </c>
      <c r="G136" s="707">
        <f>SUM(F136/E136)</f>
        <v>0.7892857142857143</v>
      </c>
    </row>
    <row r="137" spans="1:7" ht="12">
      <c r="A137" s="1056"/>
      <c r="B137" s="1057" t="s">
        <v>574</v>
      </c>
      <c r="C137" s="1059">
        <v>801</v>
      </c>
      <c r="D137" s="1059">
        <v>80146</v>
      </c>
      <c r="E137" s="1060">
        <v>1000</v>
      </c>
      <c r="F137" s="1061">
        <v>1000</v>
      </c>
      <c r="G137" s="707">
        <f>SUM(F137/E137)</f>
        <v>1</v>
      </c>
    </row>
    <row r="138" spans="1:7" ht="12">
      <c r="A138" s="1088"/>
      <c r="B138" s="1069" t="s">
        <v>575</v>
      </c>
      <c r="C138" s="1070">
        <v>854</v>
      </c>
      <c r="D138" s="1084">
        <v>85415</v>
      </c>
      <c r="E138" s="1071">
        <v>2370</v>
      </c>
      <c r="F138" s="1072">
        <v>2370</v>
      </c>
      <c r="G138" s="712">
        <f>SUM(F138/E138)</f>
        <v>1</v>
      </c>
    </row>
    <row r="139" spans="1:7" ht="12">
      <c r="A139" s="1056"/>
      <c r="B139" s="1057"/>
      <c r="C139" s="1059"/>
      <c r="D139" s="1059"/>
      <c r="E139" s="1060"/>
      <c r="F139" s="1061"/>
      <c r="G139" s="707"/>
    </row>
    <row r="140" spans="1:7" ht="12">
      <c r="A140" s="1056">
        <v>24</v>
      </c>
      <c r="B140" s="1057" t="s">
        <v>598</v>
      </c>
      <c r="C140" s="1059"/>
      <c r="D140" s="1059"/>
      <c r="E140" s="1062">
        <f>SUM(E141:E143)</f>
        <v>591420</v>
      </c>
      <c r="F140" s="1063">
        <f>SUM(F141:F143)</f>
        <v>457020</v>
      </c>
      <c r="G140" s="702">
        <f>SUM(F140/E140)</f>
        <v>0.7727503297149234</v>
      </c>
    </row>
    <row r="141" spans="1:7" ht="12">
      <c r="A141" s="1056"/>
      <c r="B141" s="1057" t="s">
        <v>572</v>
      </c>
      <c r="C141" s="1059">
        <v>801</v>
      </c>
      <c r="D141" s="1059">
        <v>80110</v>
      </c>
      <c r="E141" s="1060">
        <v>582000</v>
      </c>
      <c r="F141" s="1061">
        <v>447600</v>
      </c>
      <c r="G141" s="707">
        <f>SUM(F141/E141)</f>
        <v>0.7690721649484537</v>
      </c>
    </row>
    <row r="142" spans="1:7" ht="12">
      <c r="A142" s="1056"/>
      <c r="B142" s="1057" t="s">
        <v>574</v>
      </c>
      <c r="C142" s="1059">
        <v>801</v>
      </c>
      <c r="D142" s="1059">
        <v>80146</v>
      </c>
      <c r="E142" s="1060">
        <v>2800</v>
      </c>
      <c r="F142" s="1061">
        <v>2800</v>
      </c>
      <c r="G142" s="707">
        <f>SUM(F142/E142)</f>
        <v>1</v>
      </c>
    </row>
    <row r="143" spans="1:7" ht="12">
      <c r="A143" s="1088"/>
      <c r="B143" s="1069" t="s">
        <v>575</v>
      </c>
      <c r="C143" s="1070">
        <v>854</v>
      </c>
      <c r="D143" s="1084">
        <v>85415</v>
      </c>
      <c r="E143" s="1071">
        <v>6620</v>
      </c>
      <c r="F143" s="1072">
        <v>6620</v>
      </c>
      <c r="G143" s="712">
        <f>SUM(F143/E143)</f>
        <v>1</v>
      </c>
    </row>
    <row r="144" spans="1:7" ht="12">
      <c r="A144" s="1056"/>
      <c r="B144" s="1057"/>
      <c r="C144" s="1059"/>
      <c r="D144" s="1059"/>
      <c r="E144" s="1060"/>
      <c r="F144" s="1061"/>
      <c r="G144" s="707"/>
    </row>
    <row r="145" spans="1:7" ht="12">
      <c r="A145" s="1056">
        <v>25</v>
      </c>
      <c r="B145" s="1057" t="s">
        <v>599</v>
      </c>
      <c r="C145" s="1059"/>
      <c r="D145" s="1059"/>
      <c r="E145" s="1062">
        <f>SUM(E146:E146)</f>
        <v>801740</v>
      </c>
      <c r="F145" s="1063">
        <f>SUM(F146:F146)</f>
        <v>615740</v>
      </c>
      <c r="G145" s="702">
        <f>SUM(F145/E145)</f>
        <v>0.7680045900167136</v>
      </c>
    </row>
    <row r="146" spans="1:7" ht="12.75" thickBot="1">
      <c r="A146" s="1056"/>
      <c r="B146" s="1057" t="s">
        <v>600</v>
      </c>
      <c r="C146" s="1059">
        <v>853</v>
      </c>
      <c r="D146" s="1059">
        <v>85305</v>
      </c>
      <c r="E146" s="1107">
        <v>801740</v>
      </c>
      <c r="F146" s="1108">
        <v>615740</v>
      </c>
      <c r="G146" s="871">
        <f>SUM(F146/E146)</f>
        <v>0.7680045900167136</v>
      </c>
    </row>
    <row r="147" spans="1:7" ht="12">
      <c r="A147" s="1109"/>
      <c r="B147" s="1110"/>
      <c r="C147" s="1111"/>
      <c r="D147" s="1111"/>
      <c r="E147" s="1112"/>
      <c r="F147" s="1113"/>
      <c r="G147" s="1114"/>
    </row>
    <row r="148" spans="1:7" ht="15.75" thickBot="1">
      <c r="A148" s="1054"/>
      <c r="B148" s="1115" t="s">
        <v>203</v>
      </c>
      <c r="C148" s="1116" t="s">
        <v>517</v>
      </c>
      <c r="D148" s="1117" t="s">
        <v>517</v>
      </c>
      <c r="E148" s="1118">
        <f>SUM(E9,E24,E30,E36,E43,E51,E58,E64,E70,E76,E81,E86,E91,E96,E101,E107,E112,E118,E123,E129,E135,E140,E145,E21,E17)</f>
        <v>43671917</v>
      </c>
      <c r="F148" s="1118">
        <f>SUM(F9,F24,F30,F36,F43,F51,F58,F64,F70,F76,F81,F86,F91,F96,F101,F107,F112,F118,F123,F129,F135,F140,F145,F21,F17)</f>
        <v>35015687.8</v>
      </c>
      <c r="G148" s="897">
        <f>SUM(F148/E148)</f>
        <v>0.8017895756671272</v>
      </c>
    </row>
    <row r="149" spans="1:7" ht="12">
      <c r="A149" s="1096"/>
      <c r="B149" s="1119"/>
      <c r="C149" s="1096"/>
      <c r="D149" s="1120"/>
      <c r="E149" s="1121"/>
      <c r="F149" s="1093"/>
      <c r="G149" s="1119"/>
    </row>
    <row r="150" spans="5:6" ht="12">
      <c r="E150" s="1122"/>
      <c r="F150" s="1123"/>
    </row>
    <row r="151" spans="5:6" ht="12">
      <c r="E151" s="1122"/>
      <c r="F151" s="1123"/>
    </row>
    <row r="152" spans="5:6" ht="12">
      <c r="E152" s="1122"/>
      <c r="F152" s="1123"/>
    </row>
    <row r="153" spans="5:6" ht="12">
      <c r="E153" s="1122"/>
      <c r="F153" s="1123"/>
    </row>
    <row r="154" spans="5:6" ht="12">
      <c r="E154" s="1122"/>
      <c r="F154" s="1123"/>
    </row>
    <row r="158" ht="12">
      <c r="F158" s="1074"/>
    </row>
    <row r="166" ht="12">
      <c r="G166" s="1124"/>
    </row>
    <row r="167" ht="12">
      <c r="G167" s="1124"/>
    </row>
    <row r="168" ht="12">
      <c r="G168" s="1124"/>
    </row>
  </sheetData>
  <mergeCells count="2">
    <mergeCell ref="A1:G1"/>
    <mergeCell ref="A2:G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9" r:id="rId1"/>
  <rowBreaks count="1" manualBreakCount="1">
    <brk id="7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156"/>
  <sheetViews>
    <sheetView showGridLines="0" view="pageBreakPreview" zoomScaleSheetLayoutView="100" workbookViewId="0" topLeftCell="A1">
      <selection activeCell="B79" sqref="B79"/>
    </sheetView>
  </sheetViews>
  <sheetFormatPr defaultColWidth="9.00390625" defaultRowHeight="12"/>
  <cols>
    <col min="1" max="1" width="5.25390625" style="720" customWidth="1"/>
    <col min="2" max="2" width="45.75390625" style="898" customWidth="1"/>
    <col min="3" max="3" width="6.75390625" style="724" customWidth="1"/>
    <col min="4" max="4" width="10.75390625" style="724" customWidth="1"/>
    <col min="5" max="6" width="13.75390625" style="724" customWidth="1"/>
    <col min="7" max="7" width="10.125" style="724" bestFit="1" customWidth="1"/>
    <col min="8" max="8" width="9.875" style="719" bestFit="1" customWidth="1"/>
    <col min="9" max="16384" width="9.125" style="720" customWidth="1"/>
  </cols>
  <sheetData>
    <row r="1" spans="1:7" ht="18" customHeight="1">
      <c r="A1" s="1440" t="s">
        <v>519</v>
      </c>
      <c r="B1" s="1440"/>
      <c r="C1" s="1440"/>
      <c r="D1" s="1440"/>
      <c r="E1" s="1440"/>
      <c r="F1" s="1440"/>
      <c r="G1" s="1440"/>
    </row>
    <row r="2" spans="1:7" ht="18" customHeight="1">
      <c r="A2" s="1441" t="s">
        <v>440</v>
      </c>
      <c r="B2" s="1441"/>
      <c r="C2" s="1441"/>
      <c r="D2" s="1441"/>
      <c r="E2" s="1441"/>
      <c r="F2" s="1441"/>
      <c r="G2" s="1441"/>
    </row>
    <row r="3" spans="1:7" ht="16.5" thickBot="1">
      <c r="A3" s="721"/>
      <c r="B3" s="722"/>
      <c r="C3" s="723"/>
      <c r="D3" s="723"/>
      <c r="G3" s="725" t="s">
        <v>57</v>
      </c>
    </row>
    <row r="4" spans="1:8" s="906" customFormat="1" ht="36.75" customHeight="1">
      <c r="A4" s="903" t="s">
        <v>414</v>
      </c>
      <c r="B4" s="904" t="s">
        <v>86</v>
      </c>
      <c r="C4" s="904" t="s">
        <v>58</v>
      </c>
      <c r="D4" s="904" t="s">
        <v>84</v>
      </c>
      <c r="E4" s="904" t="s">
        <v>60</v>
      </c>
      <c r="F4" s="907" t="s">
        <v>341</v>
      </c>
      <c r="G4" s="908" t="s">
        <v>441</v>
      </c>
      <c r="H4" s="905"/>
    </row>
    <row r="5" spans="1:8" s="906" customFormat="1" ht="12.75" customHeight="1">
      <c r="A5" s="909">
        <v>1</v>
      </c>
      <c r="B5" s="910">
        <v>2</v>
      </c>
      <c r="C5" s="911">
        <v>3</v>
      </c>
      <c r="D5" s="911">
        <v>4</v>
      </c>
      <c r="E5" s="911">
        <v>5</v>
      </c>
      <c r="F5" s="912">
        <v>6</v>
      </c>
      <c r="G5" s="913">
        <v>7</v>
      </c>
      <c r="H5" s="905"/>
    </row>
    <row r="6" spans="1:8" s="736" customFormat="1" ht="30">
      <c r="A6" s="730"/>
      <c r="B6" s="829" t="s">
        <v>293</v>
      </c>
      <c r="C6" s="731"/>
      <c r="D6" s="731"/>
      <c r="E6" s="732">
        <f>SUM(E8:E13)</f>
        <v>10000</v>
      </c>
      <c r="F6" s="733">
        <f>SUM(F8:F13)</f>
        <v>10000</v>
      </c>
      <c r="G6" s="734">
        <f>SUM(F6/E6)</f>
        <v>1</v>
      </c>
      <c r="H6" s="735"/>
    </row>
    <row r="7" spans="1:7" ht="12">
      <c r="A7" s="737">
        <v>1</v>
      </c>
      <c r="B7" s="738" t="s">
        <v>442</v>
      </c>
      <c r="C7" s="739"/>
      <c r="D7" s="739"/>
      <c r="E7" s="740"/>
      <c r="F7" s="741"/>
      <c r="G7" s="742"/>
    </row>
    <row r="8" spans="1:7" ht="12">
      <c r="A8" s="743"/>
      <c r="B8" s="738" t="s">
        <v>443</v>
      </c>
      <c r="C8" s="744">
        <v>630</v>
      </c>
      <c r="D8" s="744">
        <v>63003</v>
      </c>
      <c r="E8" s="745">
        <v>5000</v>
      </c>
      <c r="F8" s="746">
        <v>5000</v>
      </c>
      <c r="G8" s="707">
        <f>SUM(F8/E8)</f>
        <v>1</v>
      </c>
    </row>
    <row r="9" spans="1:8" ht="4.5" customHeight="1">
      <c r="A9" s="743"/>
      <c r="B9" s="747"/>
      <c r="C9" s="748"/>
      <c r="D9" s="748"/>
      <c r="E9" s="749"/>
      <c r="F9" s="750"/>
      <c r="G9" s="751"/>
      <c r="H9" s="752"/>
    </row>
    <row r="10" spans="1:7" ht="12">
      <c r="A10" s="737">
        <v>2</v>
      </c>
      <c r="B10" s="738" t="s">
        <v>444</v>
      </c>
      <c r="C10" s="744"/>
      <c r="D10" s="744"/>
      <c r="E10" s="745"/>
      <c r="F10" s="741"/>
      <c r="G10" s="707"/>
    </row>
    <row r="11" spans="1:7" ht="12">
      <c r="A11" s="743"/>
      <c r="B11" s="738" t="s">
        <v>445</v>
      </c>
      <c r="C11" s="744">
        <v>630</v>
      </c>
      <c r="D11" s="744">
        <v>63003</v>
      </c>
      <c r="E11" s="745">
        <v>2500</v>
      </c>
      <c r="F11" s="741">
        <v>2500</v>
      </c>
      <c r="G11" s="707">
        <f>SUM(F11/E11)</f>
        <v>1</v>
      </c>
    </row>
    <row r="12" spans="1:8" ht="3.75" customHeight="1">
      <c r="A12" s="743"/>
      <c r="B12" s="747"/>
      <c r="C12" s="748"/>
      <c r="D12" s="748"/>
      <c r="E12" s="749"/>
      <c r="F12" s="750"/>
      <c r="G12" s="751"/>
      <c r="H12" s="753"/>
    </row>
    <row r="13" spans="1:8" ht="12">
      <c r="A13" s="737">
        <v>3</v>
      </c>
      <c r="B13" s="738" t="s">
        <v>446</v>
      </c>
      <c r="C13" s="748">
        <v>630</v>
      </c>
      <c r="D13" s="748">
        <v>63003</v>
      </c>
      <c r="E13" s="749">
        <v>2500</v>
      </c>
      <c r="F13" s="750">
        <v>2500</v>
      </c>
      <c r="G13" s="751">
        <f>SUM(F13/E13)</f>
        <v>1</v>
      </c>
      <c r="H13" s="753"/>
    </row>
    <row r="14" spans="1:8" ht="9.75" customHeight="1">
      <c r="A14" s="743"/>
      <c r="B14" s="754"/>
      <c r="C14" s="755"/>
      <c r="D14" s="755"/>
      <c r="E14" s="756"/>
      <c r="F14" s="757"/>
      <c r="G14" s="758"/>
      <c r="H14" s="753"/>
    </row>
    <row r="15" spans="1:8" s="736" customFormat="1" ht="5.25" customHeight="1">
      <c r="A15" s="759"/>
      <c r="B15" s="1442" t="s">
        <v>447</v>
      </c>
      <c r="C15" s="760"/>
      <c r="D15" s="760"/>
      <c r="E15" s="761"/>
      <c r="F15" s="762"/>
      <c r="G15" s="763"/>
      <c r="H15" s="735"/>
    </row>
    <row r="16" spans="1:8" s="736" customFormat="1" ht="17.25" customHeight="1">
      <c r="A16" s="764"/>
      <c r="B16" s="1443"/>
      <c r="C16" s="765"/>
      <c r="D16" s="765"/>
      <c r="E16" s="766">
        <f>E18+E23</f>
        <v>71100</v>
      </c>
      <c r="F16" s="767">
        <f>F18+F23</f>
        <v>71100</v>
      </c>
      <c r="G16" s="768">
        <f>SUM(F16/E16)</f>
        <v>1</v>
      </c>
      <c r="H16" s="769"/>
    </row>
    <row r="17" spans="1:8" s="778" customFormat="1" ht="9.75" customHeight="1">
      <c r="A17" s="770"/>
      <c r="B17" s="771"/>
      <c r="C17" s="772"/>
      <c r="D17" s="773"/>
      <c r="E17" s="774"/>
      <c r="F17" s="775"/>
      <c r="G17" s="776"/>
      <c r="H17" s="777"/>
    </row>
    <row r="18" spans="1:8" s="778" customFormat="1" ht="26.25" customHeight="1">
      <c r="A18" s="770"/>
      <c r="B18" s="779" t="s">
        <v>448</v>
      </c>
      <c r="C18" s="773"/>
      <c r="D18" s="773"/>
      <c r="E18" s="780">
        <f>E21</f>
        <v>25000</v>
      </c>
      <c r="F18" s="781">
        <f>F21</f>
        <v>25000</v>
      </c>
      <c r="G18" s="776">
        <f>F18/E18</f>
        <v>1</v>
      </c>
      <c r="H18" s="777"/>
    </row>
    <row r="19" spans="1:8" ht="4.5" customHeight="1">
      <c r="A19" s="782"/>
      <c r="B19" s="783"/>
      <c r="C19" s="748"/>
      <c r="D19" s="748"/>
      <c r="E19" s="784"/>
      <c r="F19" s="785"/>
      <c r="G19" s="786"/>
      <c r="H19" s="752"/>
    </row>
    <row r="20" spans="1:7" ht="12">
      <c r="A20" s="737">
        <v>4</v>
      </c>
      <c r="B20" s="738" t="s">
        <v>449</v>
      </c>
      <c r="C20" s="748"/>
      <c r="D20" s="748"/>
      <c r="E20" s="749"/>
      <c r="F20" s="750"/>
      <c r="G20" s="787"/>
    </row>
    <row r="21" spans="1:7" ht="12">
      <c r="A21" s="737"/>
      <c r="B21" s="738" t="s">
        <v>450</v>
      </c>
      <c r="C21" s="748">
        <v>851</v>
      </c>
      <c r="D21" s="748">
        <v>85154</v>
      </c>
      <c r="E21" s="745">
        <v>25000</v>
      </c>
      <c r="F21" s="741">
        <v>25000</v>
      </c>
      <c r="G21" s="751">
        <f>SUM(F21/E21)</f>
        <v>1</v>
      </c>
    </row>
    <row r="22" spans="1:8" ht="3.75" customHeight="1">
      <c r="A22" s="737"/>
      <c r="B22" s="747"/>
      <c r="C22" s="748"/>
      <c r="D22" s="748"/>
      <c r="E22" s="749"/>
      <c r="F22" s="750"/>
      <c r="G22" s="751"/>
      <c r="H22" s="753"/>
    </row>
    <row r="23" spans="1:8" ht="22.5" customHeight="1">
      <c r="A23" s="782"/>
      <c r="B23" s="788" t="s">
        <v>451</v>
      </c>
      <c r="C23" s="772"/>
      <c r="D23" s="773"/>
      <c r="E23" s="780">
        <f>SUM(E26:E35)</f>
        <v>46100</v>
      </c>
      <c r="F23" s="789">
        <f>SUM(F26:F35)</f>
        <v>46100</v>
      </c>
      <c r="G23" s="776">
        <f>SUM(F23/E23)</f>
        <v>1</v>
      </c>
      <c r="H23" s="753"/>
    </row>
    <row r="24" spans="1:7" ht="12">
      <c r="A24" s="782"/>
      <c r="B24" s="790"/>
      <c r="C24" s="791"/>
      <c r="D24" s="792"/>
      <c r="E24" s="793"/>
      <c r="F24" s="794"/>
      <c r="G24" s="795"/>
    </row>
    <row r="25" spans="1:7" ht="12">
      <c r="A25" s="737">
        <v>5</v>
      </c>
      <c r="B25" s="738" t="s">
        <v>452</v>
      </c>
      <c r="C25" s="748"/>
      <c r="D25" s="748"/>
      <c r="E25" s="749"/>
      <c r="F25" s="750"/>
      <c r="G25" s="751"/>
    </row>
    <row r="26" spans="1:7" ht="12">
      <c r="A26" s="737"/>
      <c r="B26" s="738" t="s">
        <v>453</v>
      </c>
      <c r="C26" s="748">
        <v>851</v>
      </c>
      <c r="D26" s="748">
        <v>85195</v>
      </c>
      <c r="E26" s="745">
        <v>4500</v>
      </c>
      <c r="F26" s="741">
        <v>4500</v>
      </c>
      <c r="G26" s="751">
        <f>SUM(F26/E26)</f>
        <v>1</v>
      </c>
    </row>
    <row r="27" spans="1:8" ht="14.25" customHeight="1">
      <c r="A27" s="737">
        <v>6</v>
      </c>
      <c r="B27" s="738" t="s">
        <v>454</v>
      </c>
      <c r="C27" s="748">
        <v>851</v>
      </c>
      <c r="D27" s="748">
        <v>85195</v>
      </c>
      <c r="E27" s="745">
        <v>24000</v>
      </c>
      <c r="F27" s="741">
        <v>24000</v>
      </c>
      <c r="G27" s="751">
        <f>SUM(F27/E27)</f>
        <v>1</v>
      </c>
      <c r="H27" s="753"/>
    </row>
    <row r="28" spans="1:8" ht="2.25" customHeight="1">
      <c r="A28" s="737"/>
      <c r="B28" s="747"/>
      <c r="C28" s="748"/>
      <c r="D28" s="748"/>
      <c r="E28" s="796"/>
      <c r="F28" s="797"/>
      <c r="G28" s="751"/>
      <c r="H28" s="798"/>
    </row>
    <row r="29" spans="1:8" ht="12">
      <c r="A29" s="737">
        <v>7</v>
      </c>
      <c r="B29" s="738" t="s">
        <v>455</v>
      </c>
      <c r="C29" s="748">
        <v>851</v>
      </c>
      <c r="D29" s="748">
        <v>85195</v>
      </c>
      <c r="E29" s="745">
        <v>4600</v>
      </c>
      <c r="F29" s="741">
        <v>4600</v>
      </c>
      <c r="G29" s="751">
        <f>SUM(F29/E29)</f>
        <v>1</v>
      </c>
      <c r="H29" s="752"/>
    </row>
    <row r="30" spans="1:8" ht="12">
      <c r="A30" s="737"/>
      <c r="B30" s="738" t="s">
        <v>456</v>
      </c>
      <c r="C30" s="748"/>
      <c r="D30" s="748"/>
      <c r="E30" s="796"/>
      <c r="F30" s="797"/>
      <c r="G30" s="751"/>
      <c r="H30" s="752"/>
    </row>
    <row r="31" spans="1:8" ht="12">
      <c r="A31" s="737"/>
      <c r="B31" s="738" t="s">
        <v>457</v>
      </c>
      <c r="C31" s="748"/>
      <c r="D31" s="748"/>
      <c r="E31" s="796"/>
      <c r="F31" s="797"/>
      <c r="G31" s="751"/>
      <c r="H31" s="752"/>
    </row>
    <row r="32" spans="1:8" ht="2.25" customHeight="1">
      <c r="A32" s="737"/>
      <c r="B32" s="747"/>
      <c r="C32" s="748"/>
      <c r="D32" s="748"/>
      <c r="E32" s="796"/>
      <c r="F32" s="797"/>
      <c r="G32" s="751"/>
      <c r="H32" s="752"/>
    </row>
    <row r="33" spans="1:8" s="799" customFormat="1" ht="12">
      <c r="A33" s="737">
        <v>8</v>
      </c>
      <c r="B33" s="738" t="s">
        <v>458</v>
      </c>
      <c r="C33" s="748">
        <v>851</v>
      </c>
      <c r="D33" s="748">
        <v>85195</v>
      </c>
      <c r="E33" s="745">
        <v>8000</v>
      </c>
      <c r="F33" s="741">
        <v>8000</v>
      </c>
      <c r="G33" s="751">
        <f>SUM(F33/E33)</f>
        <v>1</v>
      </c>
      <c r="H33" s="752"/>
    </row>
    <row r="34" spans="1:8" s="799" customFormat="1" ht="3" customHeight="1">
      <c r="A34" s="737"/>
      <c r="B34" s="747"/>
      <c r="C34" s="748"/>
      <c r="D34" s="748"/>
      <c r="E34" s="796"/>
      <c r="F34" s="797"/>
      <c r="G34" s="751"/>
      <c r="H34" s="752"/>
    </row>
    <row r="35" spans="1:7" ht="12">
      <c r="A35" s="737">
        <v>9</v>
      </c>
      <c r="B35" s="800" t="s">
        <v>459</v>
      </c>
      <c r="C35" s="801">
        <v>851</v>
      </c>
      <c r="D35" s="801">
        <v>85195</v>
      </c>
      <c r="E35" s="802">
        <v>5000</v>
      </c>
      <c r="F35" s="803">
        <v>5000</v>
      </c>
      <c r="G35" s="758">
        <f>SUM(F35/E35)</f>
        <v>1</v>
      </c>
    </row>
    <row r="36" spans="1:8" s="736" customFormat="1" ht="9" customHeight="1">
      <c r="A36" s="804"/>
      <c r="B36" s="1444" t="s">
        <v>460</v>
      </c>
      <c r="C36" s="760"/>
      <c r="D36" s="760"/>
      <c r="E36" s="761"/>
      <c r="F36" s="805"/>
      <c r="G36" s="806"/>
      <c r="H36" s="807"/>
    </row>
    <row r="37" spans="1:8" s="736" customFormat="1" ht="15">
      <c r="A37" s="808"/>
      <c r="B37" s="1443"/>
      <c r="C37" s="765"/>
      <c r="D37" s="765"/>
      <c r="E37" s="766">
        <f>E39+E45</f>
        <v>273000</v>
      </c>
      <c r="F37" s="767">
        <f>F39+F45</f>
        <v>184872</v>
      </c>
      <c r="G37" s="768">
        <f>SUM(F37/E37)</f>
        <v>0.6771868131868132</v>
      </c>
      <c r="H37" s="807"/>
    </row>
    <row r="38" spans="1:7" ht="6.75" customHeight="1">
      <c r="A38" s="737"/>
      <c r="B38" s="809"/>
      <c r="C38" s="748"/>
      <c r="D38" s="748"/>
      <c r="E38" s="749"/>
      <c r="F38" s="750"/>
      <c r="G38" s="751"/>
    </row>
    <row r="39" spans="1:8" s="816" customFormat="1" ht="12">
      <c r="A39" s="810"/>
      <c r="B39" s="788" t="s">
        <v>461</v>
      </c>
      <c r="C39" s="811"/>
      <c r="D39" s="811"/>
      <c r="E39" s="812">
        <f>SUM(E41)</f>
        <v>173000</v>
      </c>
      <c r="F39" s="813">
        <f>F41</f>
        <v>129872</v>
      </c>
      <c r="G39" s="814">
        <f>F39/E39</f>
        <v>0.7507052023121388</v>
      </c>
      <c r="H39" s="815"/>
    </row>
    <row r="40" spans="1:7" ht="5.25" customHeight="1">
      <c r="A40" s="737"/>
      <c r="B40" s="809"/>
      <c r="C40" s="748"/>
      <c r="D40" s="748"/>
      <c r="E40" s="749"/>
      <c r="F40" s="750"/>
      <c r="G40" s="751"/>
    </row>
    <row r="41" spans="1:7" ht="12">
      <c r="A41" s="737">
        <v>10</v>
      </c>
      <c r="B41" s="817" t="s">
        <v>462</v>
      </c>
      <c r="C41" s="748">
        <v>852</v>
      </c>
      <c r="D41" s="748">
        <v>85203</v>
      </c>
      <c r="E41" s="745">
        <f>168000+5000</f>
        <v>173000</v>
      </c>
      <c r="F41" s="741">
        <v>129872</v>
      </c>
      <c r="G41" s="751">
        <f>F41/E41</f>
        <v>0.7507052023121388</v>
      </c>
    </row>
    <row r="42" spans="1:7" ht="12">
      <c r="A42" s="737"/>
      <c r="B42" s="817" t="s">
        <v>463</v>
      </c>
      <c r="C42" s="748"/>
      <c r="D42" s="748"/>
      <c r="E42" s="749"/>
      <c r="F42" s="750"/>
      <c r="G42" s="751"/>
    </row>
    <row r="43" spans="1:7" ht="12">
      <c r="A43" s="737"/>
      <c r="B43" s="817" t="s">
        <v>464</v>
      </c>
      <c r="C43" s="748"/>
      <c r="D43" s="748"/>
      <c r="E43" s="749"/>
      <c r="F43" s="750"/>
      <c r="G43" s="751"/>
    </row>
    <row r="44" spans="1:7" ht="4.5" customHeight="1">
      <c r="A44" s="737"/>
      <c r="B44" s="809"/>
      <c r="C44" s="748"/>
      <c r="D44" s="748"/>
      <c r="E44" s="749"/>
      <c r="F44" s="750"/>
      <c r="G44" s="751"/>
    </row>
    <row r="45" spans="1:8" s="816" customFormat="1" ht="12">
      <c r="A45" s="810"/>
      <c r="B45" s="788" t="s">
        <v>465</v>
      </c>
      <c r="C45" s="811"/>
      <c r="D45" s="811"/>
      <c r="E45" s="812">
        <f>E47+E51</f>
        <v>100000</v>
      </c>
      <c r="F45" s="813">
        <f>F47+F51</f>
        <v>55000</v>
      </c>
      <c r="G45" s="814">
        <f>F45/E45</f>
        <v>0.55</v>
      </c>
      <c r="H45" s="815"/>
    </row>
    <row r="46" spans="1:7" ht="4.5" customHeight="1">
      <c r="A46" s="737"/>
      <c r="B46" s="809"/>
      <c r="C46" s="748"/>
      <c r="D46" s="748"/>
      <c r="E46" s="749"/>
      <c r="F46" s="750"/>
      <c r="G46" s="751"/>
    </row>
    <row r="47" spans="1:7" ht="12">
      <c r="A47" s="737">
        <v>11</v>
      </c>
      <c r="B47" s="738" t="s">
        <v>466</v>
      </c>
      <c r="C47" s="748">
        <v>852</v>
      </c>
      <c r="D47" s="748">
        <v>85295</v>
      </c>
      <c r="E47" s="745">
        <f>40000+25000</f>
        <v>65000</v>
      </c>
      <c r="F47" s="741">
        <f>30000+25000</f>
        <v>55000</v>
      </c>
      <c r="G47" s="751">
        <f>SUM(F47/E47)</f>
        <v>0.8461538461538461</v>
      </c>
    </row>
    <row r="48" spans="1:7" ht="12">
      <c r="A48" s="737"/>
      <c r="B48" s="738" t="s">
        <v>467</v>
      </c>
      <c r="C48" s="748"/>
      <c r="D48" s="748"/>
      <c r="E48" s="796"/>
      <c r="F48" s="797"/>
      <c r="G48" s="751"/>
    </row>
    <row r="49" spans="1:7" ht="12">
      <c r="A49" s="737"/>
      <c r="B49" s="738" t="s">
        <v>468</v>
      </c>
      <c r="C49" s="748"/>
      <c r="D49" s="748"/>
      <c r="E49" s="796"/>
      <c r="F49" s="797"/>
      <c r="G49" s="751"/>
    </row>
    <row r="50" spans="1:7" ht="4.5" customHeight="1">
      <c r="A50" s="737"/>
      <c r="B50" s="738"/>
      <c r="C50" s="748"/>
      <c r="D50" s="748"/>
      <c r="E50" s="796"/>
      <c r="F50" s="797"/>
      <c r="G50" s="751"/>
    </row>
    <row r="51" spans="1:7" ht="12">
      <c r="A51" s="737">
        <v>12</v>
      </c>
      <c r="B51" s="738" t="s">
        <v>469</v>
      </c>
      <c r="C51" s="748">
        <v>852</v>
      </c>
      <c r="D51" s="748">
        <v>85295</v>
      </c>
      <c r="E51" s="745">
        <f>100000-E47</f>
        <v>35000</v>
      </c>
      <c r="F51" s="741">
        <v>0</v>
      </c>
      <c r="G51" s="751">
        <f>F51/E51</f>
        <v>0</v>
      </c>
    </row>
    <row r="52" spans="1:7" ht="12">
      <c r="A52" s="737"/>
      <c r="B52" s="747"/>
      <c r="C52" s="748"/>
      <c r="D52" s="748"/>
      <c r="E52" s="749"/>
      <c r="F52" s="750"/>
      <c r="G52" s="751"/>
    </row>
    <row r="53" spans="1:8" s="736" customFormat="1" ht="20.25" customHeight="1">
      <c r="A53" s="818"/>
      <c r="B53" s="819" t="s">
        <v>470</v>
      </c>
      <c r="C53" s="820"/>
      <c r="D53" s="820"/>
      <c r="E53" s="821">
        <f>SUM(E55:E57)</f>
        <v>12000</v>
      </c>
      <c r="F53" s="822">
        <f>SUM(F55:F57)</f>
        <v>12000</v>
      </c>
      <c r="G53" s="823">
        <f>SUM(F53/E53)</f>
        <v>1</v>
      </c>
      <c r="H53" s="807"/>
    </row>
    <row r="54" spans="1:8" ht="12">
      <c r="A54" s="737"/>
      <c r="B54" s="747"/>
      <c r="C54" s="748"/>
      <c r="D54" s="748"/>
      <c r="E54" s="749"/>
      <c r="F54" s="750"/>
      <c r="G54" s="751"/>
      <c r="H54" s="798"/>
    </row>
    <row r="55" spans="1:8" ht="12">
      <c r="A55" s="737">
        <v>13</v>
      </c>
      <c r="B55" s="738" t="s">
        <v>471</v>
      </c>
      <c r="C55" s="748">
        <v>853</v>
      </c>
      <c r="D55" s="748">
        <v>85395</v>
      </c>
      <c r="E55" s="745">
        <v>8000</v>
      </c>
      <c r="F55" s="824">
        <v>8000</v>
      </c>
      <c r="G55" s="751">
        <f>F55/E55</f>
        <v>1</v>
      </c>
      <c r="H55" s="798"/>
    </row>
    <row r="56" spans="1:8" ht="3.75" customHeight="1">
      <c r="A56" s="737"/>
      <c r="B56" s="825"/>
      <c r="C56" s="748"/>
      <c r="D56" s="748"/>
      <c r="E56" s="826"/>
      <c r="F56" s="827"/>
      <c r="G56" s="751"/>
      <c r="H56" s="798"/>
    </row>
    <row r="57" spans="1:7" ht="24">
      <c r="A57" s="737">
        <v>14</v>
      </c>
      <c r="B57" s="828" t="s">
        <v>472</v>
      </c>
      <c r="C57" s="755">
        <v>853</v>
      </c>
      <c r="D57" s="755">
        <v>85395</v>
      </c>
      <c r="E57" s="802">
        <v>4000</v>
      </c>
      <c r="F57" s="803">
        <v>4000</v>
      </c>
      <c r="G57" s="758">
        <f>F57/E57</f>
        <v>1</v>
      </c>
    </row>
    <row r="58" spans="1:8" s="736" customFormat="1" ht="30">
      <c r="A58" s="1343"/>
      <c r="B58" s="829" t="s">
        <v>473</v>
      </c>
      <c r="C58" s="765"/>
      <c r="D58" s="765"/>
      <c r="E58" s="766">
        <f>E60+E74</f>
        <v>120000</v>
      </c>
      <c r="F58" s="767">
        <f>F60+F74</f>
        <v>105000</v>
      </c>
      <c r="G58" s="768">
        <f>SUM(F58/E58)</f>
        <v>0.875</v>
      </c>
      <c r="H58" s="807"/>
    </row>
    <row r="59" spans="1:7" ht="8.25" customHeight="1">
      <c r="A59" s="737"/>
      <c r="B59" s="830"/>
      <c r="C59" s="831"/>
      <c r="D59" s="748"/>
      <c r="E59" s="749"/>
      <c r="F59" s="750"/>
      <c r="G59" s="751"/>
    </row>
    <row r="60" spans="1:8" s="816" customFormat="1" ht="12">
      <c r="A60" s="810"/>
      <c r="B60" s="788" t="s">
        <v>474</v>
      </c>
      <c r="C60" s="832"/>
      <c r="D60" s="811"/>
      <c r="E60" s="812">
        <f>SUM(E62:E71)</f>
        <v>60000</v>
      </c>
      <c r="F60" s="833">
        <f>SUM(F62:F71)</f>
        <v>60000</v>
      </c>
      <c r="G60" s="814">
        <f>F60/E60</f>
        <v>1</v>
      </c>
      <c r="H60" s="815"/>
    </row>
    <row r="61" spans="1:7" ht="12">
      <c r="A61" s="737"/>
      <c r="B61" s="834"/>
      <c r="C61" s="748"/>
      <c r="D61" s="748"/>
      <c r="E61" s="749"/>
      <c r="F61" s="750"/>
      <c r="G61" s="751"/>
    </row>
    <row r="62" spans="1:8" ht="12">
      <c r="A62" s="737">
        <v>15</v>
      </c>
      <c r="B62" s="738" t="s">
        <v>475</v>
      </c>
      <c r="C62" s="748">
        <v>854</v>
      </c>
      <c r="D62" s="748">
        <v>85412</v>
      </c>
      <c r="E62" s="745">
        <f>2550+7450</f>
        <v>10000</v>
      </c>
      <c r="F62" s="741">
        <f>2550+7450</f>
        <v>10000</v>
      </c>
      <c r="G62" s="751">
        <f>SUM(F62/E62)</f>
        <v>1</v>
      </c>
      <c r="H62" s="835"/>
    </row>
    <row r="63" spans="1:8" ht="12">
      <c r="A63" s="737"/>
      <c r="B63" s="738" t="s">
        <v>476</v>
      </c>
      <c r="C63" s="748"/>
      <c r="D63" s="748"/>
      <c r="E63" s="796"/>
      <c r="F63" s="797"/>
      <c r="G63" s="836"/>
      <c r="H63" s="835"/>
    </row>
    <row r="64" spans="1:8" ht="3" customHeight="1">
      <c r="A64" s="737"/>
      <c r="B64" s="747"/>
      <c r="C64" s="748"/>
      <c r="D64" s="748"/>
      <c r="E64" s="796"/>
      <c r="F64" s="797"/>
      <c r="G64" s="836"/>
      <c r="H64" s="837"/>
    </row>
    <row r="65" spans="1:8" ht="12">
      <c r="A65" s="737">
        <v>16</v>
      </c>
      <c r="B65" s="738" t="s">
        <v>477</v>
      </c>
      <c r="C65" s="748">
        <v>854</v>
      </c>
      <c r="D65" s="748">
        <v>85412</v>
      </c>
      <c r="E65" s="745">
        <v>15000</v>
      </c>
      <c r="F65" s="741">
        <v>15000</v>
      </c>
      <c r="G65" s="836">
        <f>SUM(F65/E65)</f>
        <v>1</v>
      </c>
      <c r="H65" s="835"/>
    </row>
    <row r="66" spans="1:8" ht="12">
      <c r="A66" s="737"/>
      <c r="B66" s="838" t="s">
        <v>478</v>
      </c>
      <c r="C66" s="748"/>
      <c r="D66" s="748"/>
      <c r="E66" s="839"/>
      <c r="F66" s="797"/>
      <c r="G66" s="840"/>
      <c r="H66" s="835"/>
    </row>
    <row r="67" spans="1:8" ht="3" customHeight="1">
      <c r="A67" s="737"/>
      <c r="B67" s="841"/>
      <c r="C67" s="748"/>
      <c r="D67" s="748"/>
      <c r="E67" s="839"/>
      <c r="F67" s="797"/>
      <c r="G67" s="840"/>
      <c r="H67" s="835"/>
    </row>
    <row r="68" spans="1:8" ht="12">
      <c r="A68" s="737">
        <v>17</v>
      </c>
      <c r="B68" s="738" t="s">
        <v>479</v>
      </c>
      <c r="C68" s="842">
        <v>854</v>
      </c>
      <c r="D68" s="748">
        <v>85412</v>
      </c>
      <c r="E68" s="745">
        <v>20000</v>
      </c>
      <c r="F68" s="741">
        <v>20000</v>
      </c>
      <c r="G68" s="836">
        <f>SUM(F68/E68)</f>
        <v>1</v>
      </c>
      <c r="H68" s="835"/>
    </row>
    <row r="69" spans="1:8" ht="12">
      <c r="A69" s="737"/>
      <c r="B69" s="738" t="s">
        <v>480</v>
      </c>
      <c r="C69" s="842"/>
      <c r="D69" s="748"/>
      <c r="E69" s="796"/>
      <c r="F69" s="797"/>
      <c r="G69" s="836"/>
      <c r="H69" s="837"/>
    </row>
    <row r="70" spans="1:8" ht="3.75" customHeight="1">
      <c r="A70" s="737"/>
      <c r="B70" s="747"/>
      <c r="C70" s="842"/>
      <c r="D70" s="748"/>
      <c r="E70" s="796"/>
      <c r="F70" s="797"/>
      <c r="G70" s="836"/>
      <c r="H70" s="837"/>
    </row>
    <row r="71" spans="1:8" ht="12">
      <c r="A71" s="737">
        <v>18</v>
      </c>
      <c r="B71" s="738" t="s">
        <v>481</v>
      </c>
      <c r="C71" s="842">
        <v>854</v>
      </c>
      <c r="D71" s="748">
        <v>85412</v>
      </c>
      <c r="E71" s="745">
        <v>15000</v>
      </c>
      <c r="F71" s="741">
        <v>15000</v>
      </c>
      <c r="G71" s="836">
        <f>F71/E71</f>
        <v>1</v>
      </c>
      <c r="H71" s="835"/>
    </row>
    <row r="72" spans="1:8" ht="12">
      <c r="A72" s="737"/>
      <c r="B72" s="738" t="s">
        <v>482</v>
      </c>
      <c r="C72" s="842"/>
      <c r="D72" s="748"/>
      <c r="E72" s="749"/>
      <c r="F72" s="750"/>
      <c r="G72" s="836"/>
      <c r="H72" s="837"/>
    </row>
    <row r="73" spans="1:8" ht="3.75" customHeight="1">
      <c r="A73" s="737"/>
      <c r="B73" s="738"/>
      <c r="C73" s="842"/>
      <c r="D73" s="748"/>
      <c r="E73" s="749"/>
      <c r="F73" s="750"/>
      <c r="G73" s="836"/>
      <c r="H73" s="843"/>
    </row>
    <row r="74" spans="1:8" s="816" customFormat="1" ht="12">
      <c r="A74" s="810"/>
      <c r="B74" s="779" t="s">
        <v>465</v>
      </c>
      <c r="C74" s="844"/>
      <c r="D74" s="811"/>
      <c r="E74" s="812">
        <f>E76</f>
        <v>60000</v>
      </c>
      <c r="F74" s="813">
        <f>F76</f>
        <v>45000</v>
      </c>
      <c r="G74" s="814">
        <f>F74/E74</f>
        <v>0.75</v>
      </c>
      <c r="H74" s="815"/>
    </row>
    <row r="75" spans="1:8" ht="6" customHeight="1">
      <c r="A75" s="737"/>
      <c r="B75" s="834"/>
      <c r="C75" s="748"/>
      <c r="D75" s="748"/>
      <c r="E75" s="749"/>
      <c r="F75" s="750"/>
      <c r="G75" s="751"/>
      <c r="H75" s="753"/>
    </row>
    <row r="76" spans="1:7" ht="12">
      <c r="A76" s="737">
        <v>19</v>
      </c>
      <c r="B76" s="738" t="s">
        <v>483</v>
      </c>
      <c r="C76" s="748">
        <v>854</v>
      </c>
      <c r="D76" s="748">
        <v>85495</v>
      </c>
      <c r="E76" s="745">
        <f>30000+30000</f>
        <v>60000</v>
      </c>
      <c r="F76" s="741">
        <f>30000+15000</f>
        <v>45000</v>
      </c>
      <c r="G76" s="751">
        <f>SUM(F76/E76)</f>
        <v>0.75</v>
      </c>
    </row>
    <row r="77" spans="1:8" ht="12">
      <c r="A77" s="845"/>
      <c r="B77" s="846" t="s">
        <v>484</v>
      </c>
      <c r="C77" s="755"/>
      <c r="D77" s="755"/>
      <c r="E77" s="847"/>
      <c r="F77" s="848"/>
      <c r="G77" s="849"/>
      <c r="H77" s="753"/>
    </row>
    <row r="78" spans="1:7" ht="12.75" customHeight="1">
      <c r="A78" s="909">
        <v>1</v>
      </c>
      <c r="B78" s="910">
        <v>2</v>
      </c>
      <c r="C78" s="911">
        <v>3</v>
      </c>
      <c r="D78" s="911">
        <v>4</v>
      </c>
      <c r="E78" s="911">
        <v>5</v>
      </c>
      <c r="F78" s="912">
        <v>6</v>
      </c>
      <c r="G78" s="913">
        <v>7</v>
      </c>
    </row>
    <row r="79" spans="1:8" s="736" customFormat="1" ht="30">
      <c r="A79" s="808"/>
      <c r="B79" s="1347" t="s">
        <v>485</v>
      </c>
      <c r="C79" s="900"/>
      <c r="D79" s="731"/>
      <c r="E79" s="732">
        <f>E81+E92</f>
        <v>371000</v>
      </c>
      <c r="F79" s="901">
        <f>F81+F92</f>
        <v>198955.44</v>
      </c>
      <c r="G79" s="902">
        <f>F79/E79</f>
        <v>0.5362680323450135</v>
      </c>
      <c r="H79" s="850"/>
    </row>
    <row r="80" spans="1:8" ht="8.25" customHeight="1">
      <c r="A80" s="737"/>
      <c r="B80" s="851"/>
      <c r="C80" s="852"/>
      <c r="D80" s="853"/>
      <c r="E80" s="854"/>
      <c r="F80" s="855"/>
      <c r="G80" s="856"/>
      <c r="H80" s="843"/>
    </row>
    <row r="81" spans="1:8" s="816" customFormat="1" ht="12">
      <c r="A81" s="810"/>
      <c r="B81" s="788" t="s">
        <v>486</v>
      </c>
      <c r="C81" s="857"/>
      <c r="D81" s="857"/>
      <c r="E81" s="780">
        <f>SUM(E83:E91)</f>
        <v>322000</v>
      </c>
      <c r="F81" s="789">
        <f>SUM(F83:F91)</f>
        <v>149966.8</v>
      </c>
      <c r="G81" s="858">
        <f>SUM(F81/E81)</f>
        <v>0.465735403726708</v>
      </c>
      <c r="H81" s="815"/>
    </row>
    <row r="82" spans="1:7" ht="5.25" customHeight="1">
      <c r="A82" s="737"/>
      <c r="B82" s="859"/>
      <c r="C82" s="831"/>
      <c r="D82" s="748"/>
      <c r="E82" s="749"/>
      <c r="F82" s="750"/>
      <c r="G82" s="836"/>
    </row>
    <row r="83" spans="1:8" s="867" customFormat="1" ht="12">
      <c r="A83" s="737">
        <v>20</v>
      </c>
      <c r="B83" s="860" t="s">
        <v>487</v>
      </c>
      <c r="C83" s="861">
        <v>921</v>
      </c>
      <c r="D83" s="862">
        <v>92120</v>
      </c>
      <c r="E83" s="863">
        <v>50000</v>
      </c>
      <c r="F83" s="864">
        <v>50000</v>
      </c>
      <c r="G83" s="865">
        <f>F83/E83</f>
        <v>1</v>
      </c>
      <c r="H83" s="866"/>
    </row>
    <row r="84" spans="1:8" s="867" customFormat="1" ht="3.75" customHeight="1">
      <c r="A84" s="737"/>
      <c r="B84" s="860"/>
      <c r="C84" s="861"/>
      <c r="D84" s="862"/>
      <c r="E84" s="868"/>
      <c r="F84" s="869"/>
      <c r="G84" s="865"/>
      <c r="H84" s="866"/>
    </row>
    <row r="85" spans="1:8" s="867" customFormat="1" ht="12">
      <c r="A85" s="737">
        <v>21</v>
      </c>
      <c r="B85" s="860" t="s">
        <v>488</v>
      </c>
      <c r="C85" s="861">
        <v>921</v>
      </c>
      <c r="D85" s="862">
        <v>92120</v>
      </c>
      <c r="E85" s="863">
        <v>78000</v>
      </c>
      <c r="F85" s="864">
        <v>0</v>
      </c>
      <c r="G85" s="865">
        <f>F85/E85</f>
        <v>0</v>
      </c>
      <c r="H85" s="866"/>
    </row>
    <row r="86" spans="1:8" s="867" customFormat="1" ht="3.75" customHeight="1">
      <c r="A86" s="737"/>
      <c r="B86" s="860"/>
      <c r="C86" s="861"/>
      <c r="D86" s="862"/>
      <c r="E86" s="868"/>
      <c r="F86" s="869"/>
      <c r="G86" s="865"/>
      <c r="H86" s="866"/>
    </row>
    <row r="87" spans="1:8" s="867" customFormat="1" ht="12">
      <c r="A87" s="737">
        <v>22</v>
      </c>
      <c r="B87" s="860" t="s">
        <v>489</v>
      </c>
      <c r="C87" s="861">
        <v>921</v>
      </c>
      <c r="D87" s="862">
        <v>92120</v>
      </c>
      <c r="E87" s="863">
        <v>94000</v>
      </c>
      <c r="F87" s="864">
        <v>0</v>
      </c>
      <c r="G87" s="865">
        <f>F87/E87</f>
        <v>0</v>
      </c>
      <c r="H87" s="866"/>
    </row>
    <row r="88" spans="1:8" s="867" customFormat="1" ht="3.75" customHeight="1">
      <c r="A88" s="737"/>
      <c r="B88" s="860"/>
      <c r="C88" s="861"/>
      <c r="D88" s="862"/>
      <c r="E88" s="868"/>
      <c r="F88" s="869"/>
      <c r="G88" s="865"/>
      <c r="H88" s="866"/>
    </row>
    <row r="89" spans="1:8" s="867" customFormat="1" ht="12">
      <c r="A89" s="737">
        <v>23</v>
      </c>
      <c r="B89" s="860" t="s">
        <v>490</v>
      </c>
      <c r="C89" s="861">
        <v>921</v>
      </c>
      <c r="D89" s="862">
        <v>92120</v>
      </c>
      <c r="E89" s="863">
        <f>50000+50000</f>
        <v>100000</v>
      </c>
      <c r="F89" s="864">
        <f>49971.2+49995.6</f>
        <v>99966.79999999999</v>
      </c>
      <c r="G89" s="865">
        <f>F89/E89</f>
        <v>0.9996679999999999</v>
      </c>
      <c r="H89" s="866"/>
    </row>
    <row r="90" spans="1:8" s="867" customFormat="1" ht="12.75" customHeight="1">
      <c r="A90" s="737"/>
      <c r="B90" s="860" t="s">
        <v>491</v>
      </c>
      <c r="C90" s="861"/>
      <c r="D90" s="862"/>
      <c r="E90" s="868"/>
      <c r="F90" s="869"/>
      <c r="G90" s="865"/>
      <c r="H90" s="866"/>
    </row>
    <row r="91" spans="1:8" s="867" customFormat="1" ht="3.75" customHeight="1">
      <c r="A91" s="737"/>
      <c r="B91" s="860"/>
      <c r="C91" s="862"/>
      <c r="D91" s="862"/>
      <c r="E91" s="863"/>
      <c r="F91" s="870"/>
      <c r="G91" s="871"/>
      <c r="H91" s="866"/>
    </row>
    <row r="92" spans="1:8" s="875" customFormat="1" ht="12.75" customHeight="1">
      <c r="A92" s="872"/>
      <c r="B92" s="788" t="s">
        <v>492</v>
      </c>
      <c r="C92" s="873"/>
      <c r="D92" s="873"/>
      <c r="E92" s="780">
        <f>SUM(E94:E105)</f>
        <v>49000</v>
      </c>
      <c r="F92" s="789">
        <f>SUM(F94:F105)</f>
        <v>48988.64</v>
      </c>
      <c r="G92" s="858">
        <f>SUM(F92/E92)</f>
        <v>0.9997681632653062</v>
      </c>
      <c r="H92" s="874"/>
    </row>
    <row r="93" spans="1:8" ht="12">
      <c r="A93" s="737"/>
      <c r="B93" s="876"/>
      <c r="C93" s="748"/>
      <c r="D93" s="748"/>
      <c r="E93" s="749"/>
      <c r="F93" s="750"/>
      <c r="G93" s="836"/>
      <c r="H93" s="753"/>
    </row>
    <row r="94" spans="1:7" ht="12" customHeight="1">
      <c r="A94" s="737">
        <v>24</v>
      </c>
      <c r="B94" s="738" t="s">
        <v>446</v>
      </c>
      <c r="C94" s="748">
        <v>921</v>
      </c>
      <c r="D94" s="748">
        <v>92195</v>
      </c>
      <c r="E94" s="745">
        <v>20000</v>
      </c>
      <c r="F94" s="741">
        <v>20000</v>
      </c>
      <c r="G94" s="836">
        <f>F94/E94</f>
        <v>1</v>
      </c>
    </row>
    <row r="95" spans="1:8" ht="2.25" customHeight="1">
      <c r="A95" s="737"/>
      <c r="B95" s="738"/>
      <c r="C95" s="748"/>
      <c r="D95" s="748"/>
      <c r="E95" s="796"/>
      <c r="F95" s="797"/>
      <c r="G95" s="836"/>
      <c r="H95" s="753"/>
    </row>
    <row r="96" spans="1:7" ht="11.25" customHeight="1">
      <c r="A96" s="737">
        <v>25</v>
      </c>
      <c r="B96" s="738" t="s">
        <v>493</v>
      </c>
      <c r="C96" s="748">
        <v>921</v>
      </c>
      <c r="D96" s="748">
        <v>92195</v>
      </c>
      <c r="E96" s="745">
        <v>10000</v>
      </c>
      <c r="F96" s="741">
        <v>10000</v>
      </c>
      <c r="G96" s="836">
        <f>SUM(F96/E96)</f>
        <v>1</v>
      </c>
    </row>
    <row r="97" spans="1:7" ht="11.25" customHeight="1">
      <c r="A97" s="737"/>
      <c r="B97" s="738" t="s">
        <v>494</v>
      </c>
      <c r="C97" s="748"/>
      <c r="D97" s="748"/>
      <c r="E97" s="749"/>
      <c r="F97" s="750"/>
      <c r="G97" s="836"/>
    </row>
    <row r="98" spans="1:7" ht="3.75" customHeight="1">
      <c r="A98" s="737"/>
      <c r="B98" s="747"/>
      <c r="C98" s="748"/>
      <c r="D98" s="748"/>
      <c r="E98" s="749"/>
      <c r="F98" s="750"/>
      <c r="G98" s="836"/>
    </row>
    <row r="99" spans="1:7" ht="11.25" customHeight="1">
      <c r="A99" s="737">
        <v>26</v>
      </c>
      <c r="B99" s="738" t="s">
        <v>495</v>
      </c>
      <c r="C99" s="744"/>
      <c r="D99" s="744"/>
      <c r="E99" s="745"/>
      <c r="F99" s="741"/>
      <c r="G99" s="877"/>
    </row>
    <row r="100" spans="1:7" ht="11.25" customHeight="1">
      <c r="A100" s="737"/>
      <c r="B100" s="738" t="s">
        <v>476</v>
      </c>
      <c r="C100" s="744">
        <v>921</v>
      </c>
      <c r="D100" s="744">
        <v>92195</v>
      </c>
      <c r="E100" s="745">
        <v>10000</v>
      </c>
      <c r="F100" s="741">
        <v>10000</v>
      </c>
      <c r="G100" s="877">
        <f>SUM(F100/E100)</f>
        <v>1</v>
      </c>
    </row>
    <row r="101" spans="1:7" ht="2.25" customHeight="1">
      <c r="A101" s="737"/>
      <c r="B101" s="747"/>
      <c r="C101" s="744"/>
      <c r="D101" s="744"/>
      <c r="E101" s="796"/>
      <c r="F101" s="797"/>
      <c r="G101" s="877"/>
    </row>
    <row r="102" spans="1:7" ht="11.25" customHeight="1">
      <c r="A102" s="737">
        <v>27</v>
      </c>
      <c r="B102" s="738" t="s">
        <v>496</v>
      </c>
      <c r="C102" s="744">
        <v>921</v>
      </c>
      <c r="D102" s="744">
        <v>92195</v>
      </c>
      <c r="E102" s="745">
        <v>4000</v>
      </c>
      <c r="F102" s="741">
        <f>4000-11.36</f>
        <v>3988.64</v>
      </c>
      <c r="G102" s="877">
        <f>F102/E102</f>
        <v>0.9971599999999999</v>
      </c>
    </row>
    <row r="103" spans="1:7" ht="12">
      <c r="A103" s="737"/>
      <c r="B103" s="738" t="s">
        <v>497</v>
      </c>
      <c r="C103" s="748"/>
      <c r="D103" s="748"/>
      <c r="E103" s="796"/>
      <c r="F103" s="797"/>
      <c r="G103" s="836"/>
    </row>
    <row r="104" spans="1:7" ht="3.75" customHeight="1">
      <c r="A104" s="737"/>
      <c r="B104" s="738"/>
      <c r="C104" s="748"/>
      <c r="D104" s="748"/>
      <c r="E104" s="796"/>
      <c r="F104" s="797"/>
      <c r="G104" s="836"/>
    </row>
    <row r="105" spans="1:7" ht="12" customHeight="1">
      <c r="A105" s="737">
        <v>28</v>
      </c>
      <c r="B105" s="738" t="s">
        <v>498</v>
      </c>
      <c r="C105" s="744">
        <v>921</v>
      </c>
      <c r="D105" s="744">
        <v>92195</v>
      </c>
      <c r="E105" s="745">
        <v>5000</v>
      </c>
      <c r="F105" s="741">
        <v>5000</v>
      </c>
      <c r="G105" s="877">
        <f>F105/E105</f>
        <v>1</v>
      </c>
    </row>
    <row r="106" spans="1:7" ht="3" customHeight="1">
      <c r="A106" s="737"/>
      <c r="B106" s="747"/>
      <c r="C106" s="748"/>
      <c r="D106" s="748"/>
      <c r="E106" s="749"/>
      <c r="F106" s="750"/>
      <c r="G106" s="836"/>
    </row>
    <row r="107" spans="1:8" s="736" customFormat="1" ht="31.5" customHeight="1">
      <c r="A107" s="818"/>
      <c r="B107" s="1347" t="s">
        <v>633</v>
      </c>
      <c r="C107" s="878"/>
      <c r="D107" s="878"/>
      <c r="E107" s="879">
        <f>SUM(E109:E130)</f>
        <v>795000</v>
      </c>
      <c r="F107" s="880">
        <f>SUM(F109:F130)</f>
        <v>714200</v>
      </c>
      <c r="G107" s="823">
        <f>SUM(F107/E107)</f>
        <v>0.8983647798742138</v>
      </c>
      <c r="H107" s="735"/>
    </row>
    <row r="108" spans="1:8" ht="12">
      <c r="A108" s="737"/>
      <c r="B108" s="809"/>
      <c r="C108" s="881"/>
      <c r="D108" s="881"/>
      <c r="E108" s="882"/>
      <c r="F108" s="883"/>
      <c r="G108" s="884"/>
      <c r="H108" s="753"/>
    </row>
    <row r="109" spans="1:7" ht="12">
      <c r="A109" s="737">
        <v>29</v>
      </c>
      <c r="B109" s="738" t="s">
        <v>499</v>
      </c>
      <c r="C109" s="748">
        <v>926</v>
      </c>
      <c r="D109" s="748">
        <v>92605</v>
      </c>
      <c r="E109" s="745">
        <f>200000+63000+40000</f>
        <v>303000</v>
      </c>
      <c r="F109" s="741">
        <f>151000+63000+33200</f>
        <v>247200</v>
      </c>
      <c r="G109" s="836">
        <f>SUM(F109/E109)</f>
        <v>0.8158415841584158</v>
      </c>
    </row>
    <row r="110" spans="1:8" ht="12">
      <c r="A110" s="737">
        <v>30</v>
      </c>
      <c r="B110" s="738" t="s">
        <v>500</v>
      </c>
      <c r="C110" s="748">
        <v>926</v>
      </c>
      <c r="D110" s="748">
        <v>92605</v>
      </c>
      <c r="E110" s="745">
        <f>68000+65000</f>
        <v>133000</v>
      </c>
      <c r="F110" s="741">
        <f>68000+65000</f>
        <v>133000</v>
      </c>
      <c r="G110" s="836">
        <f>SUM(F110/E110)</f>
        <v>1</v>
      </c>
      <c r="H110" s="753"/>
    </row>
    <row r="111" spans="1:8" ht="12">
      <c r="A111" s="737">
        <v>31</v>
      </c>
      <c r="B111" s="738" t="s">
        <v>501</v>
      </c>
      <c r="C111" s="748">
        <v>926</v>
      </c>
      <c r="D111" s="748">
        <v>92605</v>
      </c>
      <c r="E111" s="745">
        <v>50000</v>
      </c>
      <c r="F111" s="741">
        <v>50000</v>
      </c>
      <c r="G111" s="836">
        <f>SUM(F111/E111)</f>
        <v>1</v>
      </c>
      <c r="H111" s="753"/>
    </row>
    <row r="112" spans="1:8" ht="12">
      <c r="A112" s="737">
        <v>32</v>
      </c>
      <c r="B112" s="738" t="s">
        <v>502</v>
      </c>
      <c r="C112" s="748">
        <v>926</v>
      </c>
      <c r="D112" s="748">
        <v>92605</v>
      </c>
      <c r="E112" s="745">
        <v>40000</v>
      </c>
      <c r="F112" s="741">
        <v>40000</v>
      </c>
      <c r="G112" s="836">
        <f>SUM(F112/E112)</f>
        <v>1</v>
      </c>
      <c r="H112" s="753"/>
    </row>
    <row r="113" spans="1:8" ht="12">
      <c r="A113" s="737">
        <v>33</v>
      </c>
      <c r="B113" s="738" t="s">
        <v>503</v>
      </c>
      <c r="C113" s="748">
        <v>926</v>
      </c>
      <c r="D113" s="748">
        <v>92605</v>
      </c>
      <c r="E113" s="745">
        <v>25000</v>
      </c>
      <c r="F113" s="741">
        <v>25000</v>
      </c>
      <c r="G113" s="836">
        <f>SUM(F113/E113)</f>
        <v>1</v>
      </c>
      <c r="H113" s="753"/>
    </row>
    <row r="114" spans="1:8" ht="12">
      <c r="A114" s="737"/>
      <c r="B114" s="738" t="s">
        <v>504</v>
      </c>
      <c r="C114" s="748"/>
      <c r="D114" s="748"/>
      <c r="E114" s="796"/>
      <c r="F114" s="797"/>
      <c r="G114" s="836"/>
      <c r="H114" s="753"/>
    </row>
    <row r="115" spans="1:8" ht="12">
      <c r="A115" s="737">
        <v>34</v>
      </c>
      <c r="B115" s="738" t="s">
        <v>505</v>
      </c>
      <c r="C115" s="748">
        <v>926</v>
      </c>
      <c r="D115" s="748">
        <v>92605</v>
      </c>
      <c r="E115" s="745">
        <f>10000+6000</f>
        <v>16000</v>
      </c>
      <c r="F115" s="741">
        <f>10000+6000</f>
        <v>16000</v>
      </c>
      <c r="G115" s="836">
        <f aca="true" t="shared" si="0" ref="G115:G128">SUM(F115/E115)</f>
        <v>1</v>
      </c>
      <c r="H115" s="753"/>
    </row>
    <row r="116" spans="1:8" ht="12">
      <c r="A116" s="737">
        <v>35</v>
      </c>
      <c r="B116" s="738" t="s">
        <v>506</v>
      </c>
      <c r="C116" s="748">
        <v>926</v>
      </c>
      <c r="D116" s="748">
        <v>92605</v>
      </c>
      <c r="E116" s="745">
        <v>74000</v>
      </c>
      <c r="F116" s="741">
        <v>74000</v>
      </c>
      <c r="G116" s="836">
        <f t="shared" si="0"/>
        <v>1</v>
      </c>
      <c r="H116" s="753"/>
    </row>
    <row r="117" spans="1:8" ht="12">
      <c r="A117" s="737">
        <v>36</v>
      </c>
      <c r="B117" s="738" t="s">
        <v>507</v>
      </c>
      <c r="C117" s="748">
        <v>926</v>
      </c>
      <c r="D117" s="748">
        <v>92605</v>
      </c>
      <c r="E117" s="745">
        <v>11000</v>
      </c>
      <c r="F117" s="741">
        <v>11000</v>
      </c>
      <c r="G117" s="836">
        <f t="shared" si="0"/>
        <v>1</v>
      </c>
      <c r="H117" s="753"/>
    </row>
    <row r="118" spans="1:8" ht="12">
      <c r="A118" s="737">
        <v>37</v>
      </c>
      <c r="B118" s="738" t="s">
        <v>508</v>
      </c>
      <c r="C118" s="748">
        <v>926</v>
      </c>
      <c r="D118" s="748">
        <v>92605</v>
      </c>
      <c r="E118" s="745">
        <v>7000</v>
      </c>
      <c r="F118" s="741">
        <v>7000</v>
      </c>
      <c r="G118" s="836">
        <f t="shared" si="0"/>
        <v>1</v>
      </c>
      <c r="H118" s="753"/>
    </row>
    <row r="119" spans="1:8" ht="12">
      <c r="A119" s="737">
        <v>38</v>
      </c>
      <c r="B119" s="738" t="s">
        <v>509</v>
      </c>
      <c r="C119" s="748">
        <v>926</v>
      </c>
      <c r="D119" s="748">
        <v>92605</v>
      </c>
      <c r="E119" s="745">
        <f>10000+5000+3000</f>
        <v>18000</v>
      </c>
      <c r="F119" s="741">
        <f>7000+5000+3000</f>
        <v>15000</v>
      </c>
      <c r="G119" s="836">
        <f t="shared" si="0"/>
        <v>0.8333333333333334</v>
      </c>
      <c r="H119" s="753"/>
    </row>
    <row r="120" spans="1:8" ht="12">
      <c r="A120" s="737">
        <v>39</v>
      </c>
      <c r="B120" s="738" t="s">
        <v>510</v>
      </c>
      <c r="C120" s="748">
        <v>926</v>
      </c>
      <c r="D120" s="748">
        <v>92605</v>
      </c>
      <c r="E120" s="745">
        <v>21000</v>
      </c>
      <c r="F120" s="741">
        <v>21000</v>
      </c>
      <c r="G120" s="836">
        <f t="shared" si="0"/>
        <v>1</v>
      </c>
      <c r="H120" s="753"/>
    </row>
    <row r="121" spans="1:7" ht="12">
      <c r="A121" s="737">
        <v>40</v>
      </c>
      <c r="B121" s="738" t="s">
        <v>511</v>
      </c>
      <c r="C121" s="748">
        <v>926</v>
      </c>
      <c r="D121" s="748">
        <v>92605</v>
      </c>
      <c r="E121" s="745">
        <v>18000</v>
      </c>
      <c r="F121" s="824">
        <v>18000</v>
      </c>
      <c r="G121" s="751">
        <f t="shared" si="0"/>
        <v>1</v>
      </c>
    </row>
    <row r="122" spans="1:7" ht="12">
      <c r="A122" s="737">
        <v>41</v>
      </c>
      <c r="B122" s="738" t="s">
        <v>512</v>
      </c>
      <c r="C122" s="748">
        <v>926</v>
      </c>
      <c r="D122" s="748">
        <v>92605</v>
      </c>
      <c r="E122" s="745">
        <v>6500</v>
      </c>
      <c r="F122" s="741">
        <v>6500</v>
      </c>
      <c r="G122" s="836">
        <f t="shared" si="0"/>
        <v>1</v>
      </c>
    </row>
    <row r="123" spans="1:7" ht="12">
      <c r="A123" s="737">
        <v>42</v>
      </c>
      <c r="B123" s="738" t="s">
        <v>513</v>
      </c>
      <c r="C123" s="748">
        <v>926</v>
      </c>
      <c r="D123" s="748">
        <v>92605</v>
      </c>
      <c r="E123" s="745">
        <v>13000</v>
      </c>
      <c r="F123" s="741">
        <v>13000</v>
      </c>
      <c r="G123" s="836">
        <f t="shared" si="0"/>
        <v>1</v>
      </c>
    </row>
    <row r="124" spans="1:7" ht="12">
      <c r="A124" s="737">
        <v>43</v>
      </c>
      <c r="B124" s="738" t="s">
        <v>514</v>
      </c>
      <c r="C124" s="748">
        <v>926</v>
      </c>
      <c r="D124" s="748">
        <v>92605</v>
      </c>
      <c r="E124" s="745">
        <f>21000+7000</f>
        <v>28000</v>
      </c>
      <c r="F124" s="741">
        <f>21000+7000</f>
        <v>28000</v>
      </c>
      <c r="G124" s="836">
        <f t="shared" si="0"/>
        <v>1</v>
      </c>
    </row>
    <row r="125" spans="1:7" ht="12">
      <c r="A125" s="737">
        <v>44</v>
      </c>
      <c r="B125" s="738" t="s">
        <v>493</v>
      </c>
      <c r="C125" s="748"/>
      <c r="D125" s="748"/>
      <c r="E125" s="796"/>
      <c r="F125" s="885"/>
      <c r="G125" s="751"/>
    </row>
    <row r="126" spans="1:7" ht="12">
      <c r="A126" s="737"/>
      <c r="B126" s="738" t="s">
        <v>494</v>
      </c>
      <c r="C126" s="748">
        <v>926</v>
      </c>
      <c r="D126" s="748">
        <v>92605</v>
      </c>
      <c r="E126" s="745">
        <v>4500</v>
      </c>
      <c r="F126" s="824">
        <v>4500</v>
      </c>
      <c r="G126" s="751">
        <f t="shared" si="0"/>
        <v>1</v>
      </c>
    </row>
    <row r="127" spans="1:7" ht="12">
      <c r="A127" s="737">
        <v>45</v>
      </c>
      <c r="B127" s="738" t="s">
        <v>515</v>
      </c>
      <c r="C127" s="748">
        <v>926</v>
      </c>
      <c r="D127" s="748">
        <v>92605</v>
      </c>
      <c r="E127" s="745">
        <v>1000</v>
      </c>
      <c r="F127" s="824">
        <v>1000</v>
      </c>
      <c r="G127" s="751">
        <f t="shared" si="0"/>
        <v>1</v>
      </c>
    </row>
    <row r="128" spans="1:7" ht="12">
      <c r="A128" s="737"/>
      <c r="B128" s="738" t="s">
        <v>516</v>
      </c>
      <c r="C128" s="748">
        <v>926</v>
      </c>
      <c r="D128" s="748">
        <v>92605</v>
      </c>
      <c r="E128" s="745">
        <f>2000+2000</f>
        <v>4000</v>
      </c>
      <c r="F128" s="824">
        <f>2000+2000</f>
        <v>4000</v>
      </c>
      <c r="G128" s="751">
        <f t="shared" si="0"/>
        <v>1</v>
      </c>
    </row>
    <row r="129" spans="1:7" ht="2.25" customHeight="1">
      <c r="A129" s="737"/>
      <c r="B129" s="738"/>
      <c r="C129" s="748"/>
      <c r="D129" s="748"/>
      <c r="E129" s="796"/>
      <c r="F129" s="885"/>
      <c r="G129" s="751"/>
    </row>
    <row r="130" spans="1:7" ht="12" customHeight="1" thickBot="1">
      <c r="A130" s="737">
        <v>46</v>
      </c>
      <c r="B130" s="738" t="s">
        <v>469</v>
      </c>
      <c r="C130" s="744">
        <v>926</v>
      </c>
      <c r="D130" s="744">
        <v>92605</v>
      </c>
      <c r="E130" s="745">
        <f>795000-773000</f>
        <v>22000</v>
      </c>
      <c r="F130" s="741">
        <v>0</v>
      </c>
      <c r="G130" s="877">
        <f>F130/E130</f>
        <v>0</v>
      </c>
    </row>
    <row r="131" spans="1:7" ht="12">
      <c r="A131" s="886"/>
      <c r="B131" s="887"/>
      <c r="C131" s="888"/>
      <c r="D131" s="888"/>
      <c r="E131" s="889"/>
      <c r="F131" s="890"/>
      <c r="G131" s="891"/>
    </row>
    <row r="132" spans="1:7" ht="15.75" thickBot="1">
      <c r="A132" s="892"/>
      <c r="B132" s="893" t="s">
        <v>203</v>
      </c>
      <c r="C132" s="894" t="s">
        <v>517</v>
      </c>
      <c r="D132" s="894" t="s">
        <v>517</v>
      </c>
      <c r="E132" s="895">
        <f>E107+E79+E58+E53+E37+E16+E6</f>
        <v>1652100</v>
      </c>
      <c r="F132" s="896">
        <f>F107+F79+F58+F53+F37+F16+F6</f>
        <v>1296127.44</v>
      </c>
      <c r="G132" s="897">
        <f>SUM(F132/E132)</f>
        <v>0.7845332849101143</v>
      </c>
    </row>
    <row r="134" spans="6:8" ht="12">
      <c r="F134" s="899"/>
      <c r="H134" s="753"/>
    </row>
    <row r="149" ht="12" customHeight="1">
      <c r="H149" s="798"/>
    </row>
    <row r="150" ht="12" customHeight="1">
      <c r="H150" s="798"/>
    </row>
    <row r="151" ht="12" customHeight="1">
      <c r="H151" s="798"/>
    </row>
    <row r="152" ht="12" customHeight="1">
      <c r="H152" s="843" t="s">
        <v>518</v>
      </c>
    </row>
    <row r="153" ht="12" customHeight="1">
      <c r="H153" s="798"/>
    </row>
    <row r="154" ht="12" customHeight="1">
      <c r="H154" s="798"/>
    </row>
    <row r="155" ht="12" customHeight="1">
      <c r="H155" s="798"/>
    </row>
    <row r="156" ht="12" customHeight="1">
      <c r="H156" s="798"/>
    </row>
  </sheetData>
  <mergeCells count="4">
    <mergeCell ref="A1:G1"/>
    <mergeCell ref="A2:G2"/>
    <mergeCell ref="B15:B16"/>
    <mergeCell ref="B36:B37"/>
  </mergeCells>
  <printOptions horizontalCentered="1"/>
  <pageMargins left="0.7874015748031497" right="0.7874015748031497" top="0.7086614173228347" bottom="0.8267716535433072" header="0.5118110236220472" footer="0.5118110236220472"/>
  <pageSetup horizontalDpi="600" verticalDpi="600" orientation="portrait" paperSize="9" scale="83" r:id="rId1"/>
  <rowBreaks count="1" manualBreakCount="1">
    <brk id="77" max="6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4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2"/>
  <cols>
    <col min="1" max="1" width="5.875" style="914" customWidth="1"/>
    <col min="2" max="2" width="42.875" style="914" bestFit="1" customWidth="1"/>
    <col min="3" max="3" width="7.875" style="914" customWidth="1"/>
    <col min="4" max="4" width="8.25390625" style="914" customWidth="1"/>
    <col min="5" max="5" width="14.25390625" style="914" customWidth="1"/>
    <col min="6" max="6" width="15.25390625" style="914" customWidth="1"/>
    <col min="7" max="7" width="9.875" style="914" customWidth="1"/>
    <col min="8" max="8" width="9.125" style="914" customWidth="1"/>
    <col min="9" max="9" width="14.125" style="915" bestFit="1" customWidth="1"/>
    <col min="10" max="16384" width="9.125" style="914" customWidth="1"/>
  </cols>
  <sheetData>
    <row r="1" spans="1:7" ht="15">
      <c r="A1" s="1445" t="s">
        <v>535</v>
      </c>
      <c r="B1" s="1445"/>
      <c r="C1" s="1445"/>
      <c r="D1" s="1445"/>
      <c r="E1" s="1445"/>
      <c r="F1" s="1445"/>
      <c r="G1" s="1445"/>
    </row>
    <row r="2" spans="1:7" ht="18">
      <c r="A2" s="916"/>
      <c r="B2" s="916"/>
      <c r="C2" s="916"/>
      <c r="D2" s="916"/>
      <c r="E2" s="916"/>
      <c r="F2" s="916"/>
      <c r="G2" s="916"/>
    </row>
    <row r="3" spans="1:7" ht="15" thickBot="1">
      <c r="A3" s="736"/>
      <c r="B3" s="736"/>
      <c r="C3" s="736"/>
      <c r="D3" s="736"/>
      <c r="E3" s="736"/>
      <c r="G3" s="917" t="s">
        <v>57</v>
      </c>
    </row>
    <row r="4" spans="1:7" ht="15" customHeight="1">
      <c r="A4" s="1446" t="s">
        <v>414</v>
      </c>
      <c r="B4" s="1449" t="s">
        <v>86</v>
      </c>
      <c r="C4" s="1452" t="s">
        <v>58</v>
      </c>
      <c r="D4" s="1452" t="s">
        <v>84</v>
      </c>
      <c r="E4" s="1455" t="s">
        <v>60</v>
      </c>
      <c r="F4" s="1458" t="s">
        <v>341</v>
      </c>
      <c r="G4" s="1461" t="s">
        <v>441</v>
      </c>
    </row>
    <row r="5" spans="1:7" ht="15" customHeight="1">
      <c r="A5" s="1447"/>
      <c r="B5" s="1450"/>
      <c r="C5" s="1453"/>
      <c r="D5" s="1453"/>
      <c r="E5" s="1456"/>
      <c r="F5" s="1459"/>
      <c r="G5" s="1462"/>
    </row>
    <row r="6" spans="1:7" ht="12">
      <c r="A6" s="1448"/>
      <c r="B6" s="1451"/>
      <c r="C6" s="1454"/>
      <c r="D6" s="1454"/>
      <c r="E6" s="1457"/>
      <c r="F6" s="1460"/>
      <c r="G6" s="1463"/>
    </row>
    <row r="7" spans="1:7" ht="12.75" thickBot="1">
      <c r="A7" s="918">
        <v>1</v>
      </c>
      <c r="B7" s="919">
        <v>2</v>
      </c>
      <c r="C7" s="919">
        <v>3</v>
      </c>
      <c r="D7" s="919">
        <v>4</v>
      </c>
      <c r="E7" s="919">
        <v>5</v>
      </c>
      <c r="F7" s="920">
        <v>6</v>
      </c>
      <c r="G7" s="921">
        <v>7</v>
      </c>
    </row>
    <row r="8" spans="1:7" ht="12">
      <c r="A8" s="922"/>
      <c r="B8" s="738" t="s">
        <v>305</v>
      </c>
      <c r="C8" s="744"/>
      <c r="D8" s="744"/>
      <c r="E8" s="744"/>
      <c r="F8" s="923"/>
      <c r="G8" s="924"/>
    </row>
    <row r="9" spans="1:7" ht="12">
      <c r="A9" s="845"/>
      <c r="B9" s="925" t="s">
        <v>520</v>
      </c>
      <c r="C9" s="801"/>
      <c r="D9" s="801"/>
      <c r="E9" s="926">
        <f>E12+E17</f>
        <v>3058200</v>
      </c>
      <c r="F9" s="926">
        <f>F12+F17</f>
        <v>2444000</v>
      </c>
      <c r="G9" s="702">
        <f>SUM(F9/E9)</f>
        <v>0.7991629062847426</v>
      </c>
    </row>
    <row r="10" spans="1:7" ht="12">
      <c r="A10" s="922"/>
      <c r="B10" s="927" t="s">
        <v>61</v>
      </c>
      <c r="C10" s="744"/>
      <c r="D10" s="744"/>
      <c r="E10" s="928"/>
      <c r="F10" s="741"/>
      <c r="G10" s="877"/>
    </row>
    <row r="11" spans="1:7" ht="12">
      <c r="A11" s="737"/>
      <c r="B11" s="738"/>
      <c r="C11" s="744"/>
      <c r="D11" s="744"/>
      <c r="E11" s="928"/>
      <c r="F11" s="741"/>
      <c r="G11" s="877"/>
    </row>
    <row r="12" spans="1:9" s="816" customFormat="1" ht="12">
      <c r="A12" s="929">
        <v>1</v>
      </c>
      <c r="B12" s="817" t="s">
        <v>521</v>
      </c>
      <c r="C12" s="862">
        <v>921</v>
      </c>
      <c r="D12" s="862">
        <v>92109</v>
      </c>
      <c r="E12" s="930">
        <f>SUM(E14:E14)</f>
        <v>2031000</v>
      </c>
      <c r="F12" s="930">
        <f>SUM(F14:F14)</f>
        <v>1671000</v>
      </c>
      <c r="G12" s="931">
        <f>SUM(F12/E12)</f>
        <v>0.8227474150664698</v>
      </c>
      <c r="I12" s="932"/>
    </row>
    <row r="13" spans="1:7" ht="3.75" customHeight="1">
      <c r="A13" s="737"/>
      <c r="B13" s="817"/>
      <c r="C13" s="744"/>
      <c r="D13" s="744"/>
      <c r="E13" s="928"/>
      <c r="F13" s="933"/>
      <c r="G13" s="877"/>
    </row>
    <row r="14" spans="1:7" ht="12">
      <c r="A14" s="737"/>
      <c r="B14" s="817" t="s">
        <v>522</v>
      </c>
      <c r="C14" s="738"/>
      <c r="D14" s="738"/>
      <c r="E14" s="746">
        <v>2031000</v>
      </c>
      <c r="F14" s="934">
        <v>1671000</v>
      </c>
      <c r="G14" s="935">
        <f>SUM(F14/E14)</f>
        <v>0.8227474150664698</v>
      </c>
    </row>
    <row r="15" spans="1:7" ht="12">
      <c r="A15" s="737"/>
      <c r="B15" s="817"/>
      <c r="C15" s="738"/>
      <c r="D15" s="738"/>
      <c r="E15" s="928"/>
      <c r="F15" s="741"/>
      <c r="G15" s="877"/>
    </row>
    <row r="16" spans="1:7" ht="12">
      <c r="A16" s="737">
        <v>2</v>
      </c>
      <c r="B16" s="936" t="s">
        <v>523</v>
      </c>
      <c r="C16" s="817"/>
      <c r="D16" s="817"/>
      <c r="E16" s="937"/>
      <c r="F16" s="864"/>
      <c r="G16" s="865"/>
    </row>
    <row r="17" spans="1:9" s="942" customFormat="1" ht="12">
      <c r="A17" s="938"/>
      <c r="B17" s="936" t="s">
        <v>524</v>
      </c>
      <c r="C17" s="939">
        <v>921</v>
      </c>
      <c r="D17" s="939">
        <v>92116</v>
      </c>
      <c r="E17" s="940">
        <f>SUM(E19:E19)</f>
        <v>1027200</v>
      </c>
      <c r="F17" s="941">
        <f>SUM(F19:F19)</f>
        <v>773000</v>
      </c>
      <c r="G17" s="931">
        <f>SUM(F17/E17)</f>
        <v>0.7525311526479751</v>
      </c>
      <c r="I17" s="943"/>
    </row>
    <row r="18" spans="1:9" s="942" customFormat="1" ht="2.25" customHeight="1">
      <c r="A18" s="938"/>
      <c r="B18" s="936"/>
      <c r="C18" s="939"/>
      <c r="D18" s="939"/>
      <c r="E18" s="944"/>
      <c r="F18" s="945"/>
      <c r="G18" s="865"/>
      <c r="I18" s="943"/>
    </row>
    <row r="19" spans="1:9" s="942" customFormat="1" ht="12">
      <c r="A19" s="938"/>
      <c r="B19" s="738" t="s">
        <v>525</v>
      </c>
      <c r="C19" s="946"/>
      <c r="D19" s="946"/>
      <c r="E19" s="947">
        <v>1027200</v>
      </c>
      <c r="F19" s="948">
        <v>773000</v>
      </c>
      <c r="G19" s="935">
        <f>SUM(F19/E19)</f>
        <v>0.7525311526479751</v>
      </c>
      <c r="I19" s="943"/>
    </row>
    <row r="20" spans="1:9" s="942" customFormat="1" ht="12">
      <c r="A20" s="938"/>
      <c r="B20" s="949"/>
      <c r="C20" s="946"/>
      <c r="D20" s="946"/>
      <c r="E20" s="947"/>
      <c r="F20" s="948"/>
      <c r="G20" s="950"/>
      <c r="I20" s="943"/>
    </row>
    <row r="21" spans="1:9" s="942" customFormat="1" ht="12">
      <c r="A21" s="951"/>
      <c r="B21" s="952"/>
      <c r="C21" s="953"/>
      <c r="D21" s="954"/>
      <c r="E21" s="955"/>
      <c r="F21" s="956"/>
      <c r="G21" s="957"/>
      <c r="I21" s="943"/>
    </row>
    <row r="22" spans="1:9" s="942" customFormat="1" ht="12">
      <c r="A22" s="958"/>
      <c r="B22" s="959" t="s">
        <v>526</v>
      </c>
      <c r="C22" s="960"/>
      <c r="D22" s="961"/>
      <c r="E22" s="962">
        <f>E27+E31+E35+E37+E40</f>
        <v>376800</v>
      </c>
      <c r="F22" s="963">
        <f>F27+F31+F35+F37+F40</f>
        <v>58121.36</v>
      </c>
      <c r="G22" s="964">
        <f>F22/E22</f>
        <v>0.15424989384288748</v>
      </c>
      <c r="I22" s="943"/>
    </row>
    <row r="23" spans="1:9" s="942" customFormat="1" ht="12">
      <c r="A23" s="951"/>
      <c r="B23" s="927" t="s">
        <v>61</v>
      </c>
      <c r="C23" s="954"/>
      <c r="D23" s="954"/>
      <c r="E23" s="965"/>
      <c r="F23" s="966"/>
      <c r="G23" s="967"/>
      <c r="I23" s="943"/>
    </row>
    <row r="24" spans="1:9" s="942" customFormat="1" ht="12">
      <c r="A24" s="938"/>
      <c r="B24" s="949"/>
      <c r="C24" s="946"/>
      <c r="D24" s="946"/>
      <c r="E24" s="947"/>
      <c r="F24" s="948"/>
      <c r="G24" s="968"/>
      <c r="I24" s="943"/>
    </row>
    <row r="25" spans="1:9" s="942" customFormat="1" ht="12">
      <c r="A25" s="938">
        <v>3</v>
      </c>
      <c r="B25" s="949" t="s">
        <v>527</v>
      </c>
      <c r="C25" s="946"/>
      <c r="D25" s="946"/>
      <c r="E25" s="947"/>
      <c r="F25" s="948"/>
      <c r="G25" s="969"/>
      <c r="I25" s="943"/>
    </row>
    <row r="26" spans="1:9" s="942" customFormat="1" ht="12">
      <c r="A26" s="938"/>
      <c r="B26" s="949" t="s">
        <v>528</v>
      </c>
      <c r="C26" s="946"/>
      <c r="D26" s="946"/>
      <c r="E26" s="947"/>
      <c r="F26" s="948"/>
      <c r="G26" s="969"/>
      <c r="I26" s="943"/>
    </row>
    <row r="27" spans="1:9" s="942" customFormat="1" ht="12">
      <c r="A27" s="938"/>
      <c r="B27" s="949" t="s">
        <v>529</v>
      </c>
      <c r="C27" s="946">
        <v>801</v>
      </c>
      <c r="D27" s="946">
        <v>80104</v>
      </c>
      <c r="E27" s="947">
        <v>46800</v>
      </c>
      <c r="F27" s="948">
        <v>17307.36</v>
      </c>
      <c r="G27" s="865">
        <f>SUM(F27/E27)</f>
        <v>0.3698153846153846</v>
      </c>
      <c r="I27" s="943"/>
    </row>
    <row r="28" spans="1:9" s="942" customFormat="1" ht="3.75" customHeight="1">
      <c r="A28" s="938"/>
      <c r="B28" s="949"/>
      <c r="C28" s="946"/>
      <c r="D28" s="946"/>
      <c r="E28" s="970"/>
      <c r="F28" s="971"/>
      <c r="G28" s="972"/>
      <c r="I28" s="943"/>
    </row>
    <row r="29" spans="1:7" ht="12">
      <c r="A29" s="737">
        <v>4</v>
      </c>
      <c r="B29" s="949" t="s">
        <v>527</v>
      </c>
      <c r="C29" s="744"/>
      <c r="D29" s="744"/>
      <c r="E29" s="973"/>
      <c r="F29" s="797"/>
      <c r="G29" s="974"/>
    </row>
    <row r="30" spans="1:7" ht="12">
      <c r="A30" s="737"/>
      <c r="B30" s="949" t="s">
        <v>528</v>
      </c>
      <c r="C30" s="744"/>
      <c r="D30" s="744"/>
      <c r="E30" s="973"/>
      <c r="F30" s="797"/>
      <c r="G30" s="974"/>
    </row>
    <row r="31" spans="1:8" ht="12">
      <c r="A31" s="737"/>
      <c r="B31" s="738" t="s">
        <v>530</v>
      </c>
      <c r="C31" s="744">
        <v>801</v>
      </c>
      <c r="D31" s="744">
        <v>80105</v>
      </c>
      <c r="E31" s="928">
        <v>50000</v>
      </c>
      <c r="F31" s="741">
        <v>28314</v>
      </c>
      <c r="G31" s="865">
        <f>SUM(F31/E31)</f>
        <v>0.56628</v>
      </c>
      <c r="H31" s="898"/>
    </row>
    <row r="32" spans="1:7" ht="2.25" customHeight="1">
      <c r="A32" s="737"/>
      <c r="B32" s="738"/>
      <c r="C32" s="744"/>
      <c r="D32" s="744"/>
      <c r="E32" s="973"/>
      <c r="F32" s="797"/>
      <c r="G32" s="865"/>
    </row>
    <row r="33" spans="1:9" ht="12">
      <c r="A33" s="737">
        <v>5</v>
      </c>
      <c r="B33" s="975" t="s">
        <v>531</v>
      </c>
      <c r="C33" s="744"/>
      <c r="D33" s="744"/>
      <c r="E33" s="976"/>
      <c r="F33" s="977"/>
      <c r="G33" s="865"/>
      <c r="I33" s="978"/>
    </row>
    <row r="34" spans="1:7" ht="12" customHeight="1">
      <c r="A34" s="737"/>
      <c r="B34" s="979" t="s">
        <v>532</v>
      </c>
      <c r="C34" s="744"/>
      <c r="D34" s="744"/>
      <c r="E34" s="973"/>
      <c r="F34" s="797"/>
      <c r="G34" s="865"/>
    </row>
    <row r="35" spans="1:10" ht="12">
      <c r="A35" s="737"/>
      <c r="B35" s="980" t="s">
        <v>533</v>
      </c>
      <c r="C35" s="744">
        <v>851</v>
      </c>
      <c r="D35" s="744">
        <v>85154</v>
      </c>
      <c r="E35" s="928">
        <v>25000</v>
      </c>
      <c r="F35" s="741">
        <v>12500</v>
      </c>
      <c r="G35" s="865">
        <f>SUM(F35/E35)</f>
        <v>0.5</v>
      </c>
      <c r="H35" s="981"/>
      <c r="I35" s="982"/>
      <c r="J35" s="983"/>
    </row>
    <row r="36" spans="1:10" ht="12">
      <c r="A36" s="737"/>
      <c r="B36" s="738"/>
      <c r="C36" s="744"/>
      <c r="D36" s="744"/>
      <c r="E36" s="937"/>
      <c r="F36" s="864"/>
      <c r="G36" s="865"/>
      <c r="H36" s="984"/>
      <c r="I36" s="982"/>
      <c r="J36" s="983"/>
    </row>
    <row r="37" spans="1:10" ht="12">
      <c r="A37" s="737">
        <v>6</v>
      </c>
      <c r="B37" s="817" t="s">
        <v>521</v>
      </c>
      <c r="C37" s="744"/>
      <c r="D37" s="744"/>
      <c r="E37" s="930">
        <v>250000</v>
      </c>
      <c r="F37" s="985">
        <v>0</v>
      </c>
      <c r="G37" s="986">
        <f>F37/E37</f>
        <v>0</v>
      </c>
      <c r="H37" s="984"/>
      <c r="I37" s="982"/>
      <c r="J37" s="983"/>
    </row>
    <row r="38" spans="1:7" ht="12">
      <c r="A38" s="737"/>
      <c r="B38" s="817" t="s">
        <v>534</v>
      </c>
      <c r="C38" s="744">
        <v>921</v>
      </c>
      <c r="D38" s="744">
        <v>92109</v>
      </c>
      <c r="E38" s="928">
        <v>250000</v>
      </c>
      <c r="F38" s="741">
        <v>0</v>
      </c>
      <c r="G38" s="865">
        <f>SUM(F38/E38)</f>
        <v>0</v>
      </c>
    </row>
    <row r="39" spans="1:10" ht="12">
      <c r="A39" s="737"/>
      <c r="B39" s="738"/>
      <c r="C39" s="744"/>
      <c r="D39" s="744"/>
      <c r="E39" s="937"/>
      <c r="F39" s="864"/>
      <c r="G39" s="865"/>
      <c r="H39" s="984"/>
      <c r="I39" s="982"/>
      <c r="J39" s="983"/>
    </row>
    <row r="40" spans="1:10" ht="12">
      <c r="A40" s="737">
        <v>7</v>
      </c>
      <c r="B40" s="936" t="s">
        <v>523</v>
      </c>
      <c r="C40" s="744">
        <v>921</v>
      </c>
      <c r="D40" s="744">
        <v>92116</v>
      </c>
      <c r="E40" s="930">
        <v>5000</v>
      </c>
      <c r="F40" s="985">
        <v>0</v>
      </c>
      <c r="G40" s="986">
        <f>F40/E40</f>
        <v>0</v>
      </c>
      <c r="H40" s="984"/>
      <c r="I40" s="982"/>
      <c r="J40" s="983"/>
    </row>
    <row r="41" spans="1:9" s="942" customFormat="1" ht="12">
      <c r="A41" s="938"/>
      <c r="B41" s="738" t="s">
        <v>534</v>
      </c>
      <c r="C41" s="946"/>
      <c r="D41" s="946"/>
      <c r="E41" s="947">
        <v>5000</v>
      </c>
      <c r="F41" s="948">
        <v>5000</v>
      </c>
      <c r="G41" s="935">
        <f>SUM(F41/E41)</f>
        <v>1</v>
      </c>
      <c r="I41" s="943"/>
    </row>
    <row r="42" spans="1:7" ht="12.75" thickBot="1">
      <c r="A42" s="892"/>
      <c r="B42" s="987"/>
      <c r="C42" s="988"/>
      <c r="D42" s="988"/>
      <c r="E42" s="989"/>
      <c r="F42" s="990"/>
      <c r="G42" s="991"/>
    </row>
    <row r="43" spans="1:7" ht="12">
      <c r="A43" s="1292"/>
      <c r="B43" s="887"/>
      <c r="C43" s="887"/>
      <c r="D43" s="887"/>
      <c r="E43" s="1293"/>
      <c r="F43" s="1294"/>
      <c r="G43" s="1295"/>
    </row>
    <row r="44" spans="1:7" ht="15.75" thickBot="1">
      <c r="A44" s="995"/>
      <c r="B44" s="893" t="s">
        <v>203</v>
      </c>
      <c r="C44" s="894" t="s">
        <v>517</v>
      </c>
      <c r="D44" s="894" t="s">
        <v>517</v>
      </c>
      <c r="E44" s="996">
        <f>E23+E9</f>
        <v>3058200</v>
      </c>
      <c r="F44" s="996">
        <f>F23+F9</f>
        <v>2444000</v>
      </c>
      <c r="G44" s="997">
        <f>SUM(F44/E44)</f>
        <v>0.7991629062847426</v>
      </c>
    </row>
  </sheetData>
  <mergeCells count="8">
    <mergeCell ref="A1:G1"/>
    <mergeCell ref="A4:A6"/>
    <mergeCell ref="B4:B6"/>
    <mergeCell ref="C4:C6"/>
    <mergeCell ref="D4:D6"/>
    <mergeCell ref="E4:E6"/>
    <mergeCell ref="F4:F6"/>
    <mergeCell ref="G4:G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2"/>
  <cols>
    <col min="1" max="1" width="5.375" style="83" bestFit="1" customWidth="1"/>
    <col min="2" max="2" width="45.00390625" style="83" customWidth="1"/>
    <col min="3" max="3" width="7.875" style="83" customWidth="1"/>
    <col min="4" max="4" width="9.75390625" style="83" bestFit="1" customWidth="1"/>
    <col min="5" max="5" width="11.75390625" style="83" bestFit="1" customWidth="1"/>
    <col min="6" max="6" width="12.375" style="83" customWidth="1"/>
    <col min="7" max="7" width="10.25390625" style="1011" bestFit="1" customWidth="1"/>
    <col min="8" max="8" width="8.75390625" style="83" customWidth="1"/>
    <col min="9" max="16384" width="9.125" style="83" customWidth="1"/>
  </cols>
  <sheetData>
    <row r="1" spans="1:7" s="1041" customFormat="1" ht="40.5" customHeight="1">
      <c r="A1" s="1464" t="s">
        <v>544</v>
      </c>
      <c r="B1" s="1465"/>
      <c r="C1" s="1465"/>
      <c r="D1" s="1465"/>
      <c r="E1" s="1465"/>
      <c r="F1" s="1465"/>
      <c r="G1" s="1465"/>
    </row>
    <row r="2" spans="1:7" ht="15" thickBot="1">
      <c r="A2" s="54"/>
      <c r="B2" s="54"/>
      <c r="C2" s="54"/>
      <c r="D2" s="54"/>
      <c r="E2" s="54"/>
      <c r="F2" s="54"/>
      <c r="G2" s="293" t="s">
        <v>57</v>
      </c>
    </row>
    <row r="3" spans="1:7" ht="37.5" customHeight="1">
      <c r="A3" s="999" t="s">
        <v>414</v>
      </c>
      <c r="B3" s="1000" t="s">
        <v>536</v>
      </c>
      <c r="C3" s="1000" t="s">
        <v>58</v>
      </c>
      <c r="D3" s="1000" t="s">
        <v>84</v>
      </c>
      <c r="E3" s="1001" t="s">
        <v>60</v>
      </c>
      <c r="F3" s="1000" t="s">
        <v>341</v>
      </c>
      <c r="G3" s="1002" t="s">
        <v>441</v>
      </c>
    </row>
    <row r="4" spans="1:7" ht="12.75" thickBot="1">
      <c r="A4" s="1003">
        <v>1</v>
      </c>
      <c r="B4" s="242">
        <v>2</v>
      </c>
      <c r="C4" s="242">
        <v>3</v>
      </c>
      <c r="D4" s="242">
        <v>4</v>
      </c>
      <c r="E4" s="242">
        <v>5</v>
      </c>
      <c r="F4" s="1004">
        <v>6</v>
      </c>
      <c r="G4" s="1005">
        <v>7</v>
      </c>
    </row>
    <row r="5" spans="1:7" ht="12">
      <c r="A5" s="114"/>
      <c r="B5" s="86" t="s">
        <v>305</v>
      </c>
      <c r="C5" s="85"/>
      <c r="D5" s="85"/>
      <c r="E5" s="85"/>
      <c r="F5" s="108"/>
      <c r="G5" s="1006"/>
    </row>
    <row r="6" spans="1:7" s="1011" customFormat="1" ht="24">
      <c r="A6" s="1007" t="s">
        <v>537</v>
      </c>
      <c r="B6" s="1008" t="s">
        <v>538</v>
      </c>
      <c r="C6" s="85">
        <v>600</v>
      </c>
      <c r="D6" s="85">
        <v>60013</v>
      </c>
      <c r="E6" s="1009">
        <v>500000</v>
      </c>
      <c r="F6" s="1010">
        <f>SUM(F7)</f>
        <v>0</v>
      </c>
      <c r="G6" s="871">
        <f>SUM(F6/E6)</f>
        <v>0</v>
      </c>
    </row>
    <row r="7" spans="1:7" ht="12">
      <c r="A7" s="1007"/>
      <c r="B7" s="86" t="s">
        <v>539</v>
      </c>
      <c r="C7" s="86"/>
      <c r="D7" s="86"/>
      <c r="E7" s="1012"/>
      <c r="F7" s="1013"/>
      <c r="G7" s="1014"/>
    </row>
    <row r="8" spans="1:7" ht="6.75" customHeight="1">
      <c r="A8" s="1007"/>
      <c r="B8" s="86"/>
      <c r="C8" s="86"/>
      <c r="D8" s="86"/>
      <c r="E8" s="1012"/>
      <c r="F8" s="1013"/>
      <c r="G8" s="1014"/>
    </row>
    <row r="9" spans="1:7" s="1019" customFormat="1" ht="24">
      <c r="A9" s="1007" t="s">
        <v>540</v>
      </c>
      <c r="B9" s="1015" t="s">
        <v>541</v>
      </c>
      <c r="C9" s="1016">
        <v>600</v>
      </c>
      <c r="D9" s="1016">
        <v>60013</v>
      </c>
      <c r="E9" s="1017">
        <v>200000</v>
      </c>
      <c r="F9" s="1018">
        <f>SUM(F10)</f>
        <v>0</v>
      </c>
      <c r="G9" s="871">
        <f>SUM(F9/E9)</f>
        <v>0</v>
      </c>
    </row>
    <row r="10" spans="1:7" s="1019" customFormat="1" ht="12">
      <c r="A10" s="1007"/>
      <c r="B10" s="1015" t="s">
        <v>542</v>
      </c>
      <c r="C10" s="1016"/>
      <c r="D10" s="1016"/>
      <c r="E10" s="1020"/>
      <c r="F10" s="1021"/>
      <c r="G10" s="1022"/>
    </row>
    <row r="11" spans="1:7" s="1019" customFormat="1" ht="12.75" thickBot="1">
      <c r="A11" s="1023"/>
      <c r="B11" s="226"/>
      <c r="C11" s="1016"/>
      <c r="D11" s="1016"/>
      <c r="E11" s="1024"/>
      <c r="F11" s="1025"/>
      <c r="G11" s="1022"/>
    </row>
    <row r="12" spans="1:7" ht="12.75">
      <c r="A12" s="1026"/>
      <c r="B12" s="1027"/>
      <c r="C12" s="1027"/>
      <c r="D12" s="1027"/>
      <c r="E12" s="1028"/>
      <c r="F12" s="1028"/>
      <c r="G12" s="1029"/>
    </row>
    <row r="13" spans="1:7" ht="13.5" thickBot="1">
      <c r="A13" s="1030"/>
      <c r="B13" s="1031" t="s">
        <v>203</v>
      </c>
      <c r="C13" s="1031" t="s">
        <v>517</v>
      </c>
      <c r="D13" s="1031" t="s">
        <v>517</v>
      </c>
      <c r="E13" s="1032">
        <f>E9+E6</f>
        <v>700000</v>
      </c>
      <c r="F13" s="1032">
        <f>SUM(F6:F12)</f>
        <v>0</v>
      </c>
      <c r="G13" s="1033">
        <f>F13/E13</f>
        <v>0</v>
      </c>
    </row>
    <row r="14" spans="1:7" ht="39.75" customHeight="1">
      <c r="A14" s="93"/>
      <c r="B14" s="1034"/>
      <c r="C14" s="1034"/>
      <c r="D14" s="1034"/>
      <c r="E14" s="1035"/>
      <c r="F14" s="1035"/>
      <c r="G14" s="1036"/>
    </row>
    <row r="15" spans="1:9" ht="40.5" customHeight="1">
      <c r="A15" s="1464" t="s">
        <v>545</v>
      </c>
      <c r="B15" s="1465"/>
      <c r="C15" s="1465"/>
      <c r="D15" s="1465"/>
      <c r="E15" s="1465"/>
      <c r="F15" s="1465"/>
      <c r="G15" s="1465"/>
      <c r="H15" s="998"/>
      <c r="I15" s="998"/>
    </row>
    <row r="16" spans="1:7" ht="15" thickBot="1">
      <c r="A16" s="54"/>
      <c r="B16" s="54"/>
      <c r="C16" s="54"/>
      <c r="D16" s="54"/>
      <c r="E16" s="54"/>
      <c r="F16" s="54"/>
      <c r="G16" s="293" t="s">
        <v>57</v>
      </c>
    </row>
    <row r="17" spans="1:7" ht="37.5" customHeight="1">
      <c r="A17" s="999" t="s">
        <v>414</v>
      </c>
      <c r="B17" s="1000" t="s">
        <v>536</v>
      </c>
      <c r="C17" s="1000" t="s">
        <v>58</v>
      </c>
      <c r="D17" s="1000" t="s">
        <v>84</v>
      </c>
      <c r="E17" s="1001" t="s">
        <v>60</v>
      </c>
      <c r="F17" s="1000" t="s">
        <v>341</v>
      </c>
      <c r="G17" s="1002" t="s">
        <v>441</v>
      </c>
    </row>
    <row r="18" spans="1:7" ht="12.75" thickBot="1">
      <c r="A18" s="1003">
        <v>1</v>
      </c>
      <c r="B18" s="242">
        <v>2</v>
      </c>
      <c r="C18" s="242">
        <v>3</v>
      </c>
      <c r="D18" s="242">
        <v>4</v>
      </c>
      <c r="E18" s="242">
        <v>5</v>
      </c>
      <c r="F18" s="1004">
        <v>6</v>
      </c>
      <c r="G18" s="1005">
        <v>7</v>
      </c>
    </row>
    <row r="19" spans="1:7" ht="12">
      <c r="A19" s="114"/>
      <c r="B19" s="86" t="s">
        <v>305</v>
      </c>
      <c r="C19" s="85"/>
      <c r="D19" s="85"/>
      <c r="E19" s="85"/>
      <c r="F19" s="108"/>
      <c r="G19" s="1006"/>
    </row>
    <row r="20" spans="1:7" s="1011" customFormat="1" ht="12">
      <c r="A20" s="1007" t="s">
        <v>537</v>
      </c>
      <c r="B20" s="1008" t="s">
        <v>543</v>
      </c>
      <c r="C20" s="85">
        <v>926</v>
      </c>
      <c r="D20" s="85">
        <v>92601</v>
      </c>
      <c r="E20" s="1009">
        <v>30000</v>
      </c>
      <c r="F20" s="1010">
        <f>SUM(F21)</f>
        <v>0</v>
      </c>
      <c r="G20" s="871">
        <f>SUM(F20/E20)</f>
        <v>0</v>
      </c>
    </row>
    <row r="21" spans="1:7" ht="12">
      <c r="A21" s="1007"/>
      <c r="B21" s="1037" t="s">
        <v>539</v>
      </c>
      <c r="C21" s="86"/>
      <c r="D21" s="86"/>
      <c r="E21" s="1038"/>
      <c r="F21" s="1039"/>
      <c r="G21" s="1040"/>
    </row>
    <row r="22" spans="1:7" ht="12.75" thickBot="1">
      <c r="A22" s="1007"/>
      <c r="B22" s="86"/>
      <c r="C22" s="86"/>
      <c r="D22" s="86"/>
      <c r="E22" s="1038"/>
      <c r="F22" s="1039"/>
      <c r="G22" s="1040"/>
    </row>
    <row r="23" spans="1:7" ht="12.75">
      <c r="A23" s="1026"/>
      <c r="B23" s="1027"/>
      <c r="C23" s="1027"/>
      <c r="D23" s="1027"/>
      <c r="E23" s="1028"/>
      <c r="F23" s="1028"/>
      <c r="G23" s="1029"/>
    </row>
    <row r="24" spans="1:7" ht="13.5" thickBot="1">
      <c r="A24" s="1030"/>
      <c r="B24" s="1031" t="s">
        <v>203</v>
      </c>
      <c r="C24" s="1031" t="s">
        <v>517</v>
      </c>
      <c r="D24" s="1031" t="s">
        <v>517</v>
      </c>
      <c r="E24" s="1032">
        <f>E20</f>
        <v>30000</v>
      </c>
      <c r="F24" s="1032">
        <f>SUM(F20:F23)</f>
        <v>0</v>
      </c>
      <c r="G24" s="1033">
        <f>F24/E24</f>
        <v>0</v>
      </c>
    </row>
  </sheetData>
  <mergeCells count="2">
    <mergeCell ref="A1:G1"/>
    <mergeCell ref="A15:G1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56"/>
  <sheetViews>
    <sheetView showGridLines="0" view="pageBreakPreview" zoomScaleSheetLayoutView="100" workbookViewId="0" topLeftCell="A1">
      <selection activeCell="K18" sqref="K17:K18"/>
    </sheetView>
  </sheetViews>
  <sheetFormatPr defaultColWidth="9.00390625" defaultRowHeight="12"/>
  <cols>
    <col min="1" max="1" width="5.25390625" style="720" customWidth="1"/>
    <col min="2" max="2" width="48.75390625" style="898" customWidth="1"/>
    <col min="3" max="3" width="6.75390625" style="724" customWidth="1"/>
    <col min="4" max="4" width="10.75390625" style="724" customWidth="1"/>
    <col min="5" max="6" width="13.75390625" style="724" customWidth="1"/>
    <col min="7" max="7" width="9.25390625" style="724" bestFit="1" customWidth="1"/>
    <col min="8" max="8" width="9.875" style="719" bestFit="1" customWidth="1"/>
    <col min="9" max="16384" width="9.125" style="720" customWidth="1"/>
  </cols>
  <sheetData>
    <row r="1" spans="1:7" ht="18" customHeight="1">
      <c r="A1" s="1440" t="s">
        <v>1</v>
      </c>
      <c r="B1" s="1440"/>
      <c r="C1" s="1440"/>
      <c r="D1" s="1440"/>
      <c r="E1" s="1440"/>
      <c r="F1" s="1440"/>
      <c r="G1" s="1440"/>
    </row>
    <row r="2" spans="1:7" ht="18" customHeight="1">
      <c r="A2" s="1219"/>
      <c r="B2" s="1441" t="s">
        <v>2</v>
      </c>
      <c r="C2" s="1441"/>
      <c r="D2" s="1441"/>
      <c r="E2" s="1441"/>
      <c r="F2" s="1441"/>
      <c r="G2" s="1441"/>
    </row>
    <row r="3" spans="1:7" ht="16.5" thickBot="1">
      <c r="A3" s="721"/>
      <c r="B3" s="722"/>
      <c r="C3" s="723"/>
      <c r="D3" s="723"/>
      <c r="G3" s="725" t="s">
        <v>57</v>
      </c>
    </row>
    <row r="4" spans="1:7" ht="36.75" customHeight="1" thickBot="1">
      <c r="A4" s="726" t="s">
        <v>414</v>
      </c>
      <c r="B4" s="727" t="s">
        <v>86</v>
      </c>
      <c r="C4" s="727" t="s">
        <v>58</v>
      </c>
      <c r="D4" s="727" t="s">
        <v>84</v>
      </c>
      <c r="E4" s="727" t="s">
        <v>60</v>
      </c>
      <c r="F4" s="728" t="s">
        <v>341</v>
      </c>
      <c r="G4" s="729" t="s">
        <v>441</v>
      </c>
    </row>
    <row r="5" spans="1:7" ht="12.75" customHeight="1">
      <c r="A5" s="1042">
        <v>1</v>
      </c>
      <c r="B5" s="1043">
        <v>2</v>
      </c>
      <c r="C5" s="1044">
        <v>3</v>
      </c>
      <c r="D5" s="1044">
        <v>4</v>
      </c>
      <c r="E5" s="1044">
        <v>5</v>
      </c>
      <c r="F5" s="1045">
        <v>6</v>
      </c>
      <c r="G5" s="1046">
        <v>7</v>
      </c>
    </row>
    <row r="6" spans="1:8" s="736" customFormat="1" ht="20.25" customHeight="1">
      <c r="A6" s="818"/>
      <c r="B6" s="819" t="s">
        <v>470</v>
      </c>
      <c r="C6" s="820"/>
      <c r="D6" s="820"/>
      <c r="E6" s="821"/>
      <c r="F6" s="822"/>
      <c r="G6" s="823"/>
      <c r="H6" s="807"/>
    </row>
    <row r="7" spans="1:8" ht="12">
      <c r="A7" s="737"/>
      <c r="B7" s="747"/>
      <c r="C7" s="748"/>
      <c r="D7" s="748"/>
      <c r="E7" s="749"/>
      <c r="F7" s="750"/>
      <c r="G7" s="751"/>
      <c r="H7" s="798"/>
    </row>
    <row r="8" spans="1:8" ht="3.75" customHeight="1">
      <c r="A8" s="737"/>
      <c r="B8" s="825"/>
      <c r="C8" s="748"/>
      <c r="D8" s="748"/>
      <c r="E8" s="1047"/>
      <c r="F8" s="1048"/>
      <c r="G8" s="751"/>
      <c r="H8" s="798"/>
    </row>
    <row r="9" spans="1:7" ht="12">
      <c r="A9" s="737">
        <v>1</v>
      </c>
      <c r="B9" s="738" t="s">
        <v>462</v>
      </c>
      <c r="C9" s="748"/>
      <c r="D9" s="748"/>
      <c r="E9" s="749"/>
      <c r="F9" s="750"/>
      <c r="G9" s="751"/>
    </row>
    <row r="10" spans="1:7" ht="12">
      <c r="A10" s="737"/>
      <c r="B10" s="738" t="s">
        <v>546</v>
      </c>
      <c r="C10" s="748">
        <v>853</v>
      </c>
      <c r="D10" s="748">
        <v>85395</v>
      </c>
      <c r="E10" s="749">
        <v>37300</v>
      </c>
      <c r="F10" s="750">
        <v>37300</v>
      </c>
      <c r="G10" s="751">
        <f>SUM(F10/E10)</f>
        <v>1</v>
      </c>
    </row>
    <row r="11" spans="1:7" ht="3" customHeight="1">
      <c r="A11" s="737"/>
      <c r="B11" s="747"/>
      <c r="C11" s="748"/>
      <c r="D11" s="748"/>
      <c r="E11" s="749"/>
      <c r="F11" s="750"/>
      <c r="G11" s="751"/>
    </row>
    <row r="12" spans="1:7" ht="12">
      <c r="A12" s="737">
        <v>2</v>
      </c>
      <c r="B12" s="738" t="s">
        <v>547</v>
      </c>
      <c r="C12" s="748">
        <v>853</v>
      </c>
      <c r="D12" s="748">
        <v>85395</v>
      </c>
      <c r="E12" s="745">
        <v>5000</v>
      </c>
      <c r="F12" s="741">
        <v>5000</v>
      </c>
      <c r="G12" s="751">
        <f>SUM(F12/E12)</f>
        <v>1</v>
      </c>
    </row>
    <row r="13" spans="1:7" ht="3.75" customHeight="1">
      <c r="A13" s="737"/>
      <c r="B13" s="747"/>
      <c r="C13" s="748"/>
      <c r="D13" s="748"/>
      <c r="E13" s="796"/>
      <c r="F13" s="797"/>
      <c r="G13" s="751"/>
    </row>
    <row r="14" spans="1:7" ht="12">
      <c r="A14" s="737">
        <v>3</v>
      </c>
      <c r="B14" s="738" t="s">
        <v>548</v>
      </c>
      <c r="C14" s="748">
        <v>853</v>
      </c>
      <c r="D14" s="748">
        <v>85395</v>
      </c>
      <c r="E14" s="745">
        <v>8100</v>
      </c>
      <c r="F14" s="741">
        <v>8100</v>
      </c>
      <c r="G14" s="751">
        <f>SUM(F14/E14)</f>
        <v>1</v>
      </c>
    </row>
    <row r="15" spans="1:7" ht="12">
      <c r="A15" s="737"/>
      <c r="B15" s="738" t="s">
        <v>549</v>
      </c>
      <c r="C15" s="748"/>
      <c r="D15" s="748"/>
      <c r="E15" s="796"/>
      <c r="F15" s="797"/>
      <c r="G15" s="751"/>
    </row>
    <row r="16" spans="1:7" ht="3.75" customHeight="1">
      <c r="A16" s="737"/>
      <c r="B16" s="747"/>
      <c r="C16" s="748"/>
      <c r="D16" s="748"/>
      <c r="E16" s="796"/>
      <c r="F16" s="797"/>
      <c r="G16" s="751"/>
    </row>
    <row r="17" spans="1:7" ht="12">
      <c r="A17" s="737">
        <v>4</v>
      </c>
      <c r="B17" s="738" t="s">
        <v>56</v>
      </c>
      <c r="C17" s="748">
        <v>853</v>
      </c>
      <c r="D17" s="748">
        <v>85395</v>
      </c>
      <c r="E17" s="745">
        <v>5000</v>
      </c>
      <c r="F17" s="741">
        <v>5000</v>
      </c>
      <c r="G17" s="751">
        <f>SUM(F17/E17)</f>
        <v>1</v>
      </c>
    </row>
    <row r="18" spans="1:7" ht="12">
      <c r="A18" s="737"/>
      <c r="B18" s="738" t="s">
        <v>550</v>
      </c>
      <c r="C18" s="748"/>
      <c r="D18" s="748"/>
      <c r="E18" s="796"/>
      <c r="F18" s="797"/>
      <c r="G18" s="751"/>
    </row>
    <row r="19" spans="1:7" ht="3.75" customHeight="1">
      <c r="A19" s="737"/>
      <c r="B19" s="747"/>
      <c r="C19" s="748"/>
      <c r="D19" s="748"/>
      <c r="E19" s="796"/>
      <c r="F19" s="797"/>
      <c r="G19" s="751"/>
    </row>
    <row r="20" spans="1:7" ht="12">
      <c r="A20" s="737">
        <v>5</v>
      </c>
      <c r="B20" s="738" t="s">
        <v>551</v>
      </c>
      <c r="C20" s="748">
        <v>853</v>
      </c>
      <c r="D20" s="748">
        <v>85395</v>
      </c>
      <c r="E20" s="745">
        <v>4000</v>
      </c>
      <c r="F20" s="741">
        <v>4000</v>
      </c>
      <c r="G20" s="751">
        <f>F20/E20</f>
        <v>1</v>
      </c>
    </row>
    <row r="21" spans="1:7" ht="2.25" customHeight="1">
      <c r="A21" s="737"/>
      <c r="B21" s="747"/>
      <c r="C21" s="748"/>
      <c r="D21" s="748"/>
      <c r="E21" s="796"/>
      <c r="F21" s="797"/>
      <c r="G21" s="751"/>
    </row>
    <row r="22" spans="1:7" ht="12">
      <c r="A22" s="737">
        <v>6</v>
      </c>
      <c r="B22" s="738" t="s">
        <v>496</v>
      </c>
      <c r="C22" s="748">
        <v>853</v>
      </c>
      <c r="D22" s="748">
        <v>85395</v>
      </c>
      <c r="E22" s="745">
        <v>4000</v>
      </c>
      <c r="F22" s="741">
        <f>11.36+3988.64</f>
        <v>4000</v>
      </c>
      <c r="G22" s="751">
        <f>F22/E22</f>
        <v>1</v>
      </c>
    </row>
    <row r="23" spans="1:7" ht="12">
      <c r="A23" s="737"/>
      <c r="B23" s="738" t="s">
        <v>552</v>
      </c>
      <c r="C23" s="748"/>
      <c r="D23" s="748"/>
      <c r="E23" s="796"/>
      <c r="F23" s="797"/>
      <c r="G23" s="751"/>
    </row>
    <row r="24" spans="1:7" ht="2.25" customHeight="1">
      <c r="A24" s="737"/>
      <c r="B24" s="738"/>
      <c r="C24" s="748"/>
      <c r="D24" s="748"/>
      <c r="E24" s="796"/>
      <c r="F24" s="797"/>
      <c r="G24" s="751"/>
    </row>
    <row r="25" spans="1:7" ht="12">
      <c r="A25" s="737">
        <v>7</v>
      </c>
      <c r="B25" s="738" t="s">
        <v>553</v>
      </c>
      <c r="C25" s="748">
        <v>853</v>
      </c>
      <c r="D25" s="748">
        <v>85395</v>
      </c>
      <c r="E25" s="745">
        <v>5000</v>
      </c>
      <c r="F25" s="741">
        <v>5000</v>
      </c>
      <c r="G25" s="751">
        <f>F25/E25</f>
        <v>1</v>
      </c>
    </row>
    <row r="26" spans="1:7" ht="12">
      <c r="A26" s="737"/>
      <c r="B26" s="738" t="s">
        <v>554</v>
      </c>
      <c r="C26" s="748"/>
      <c r="D26" s="748"/>
      <c r="E26" s="796"/>
      <c r="F26" s="797"/>
      <c r="G26" s="751"/>
    </row>
    <row r="27" spans="1:7" ht="12">
      <c r="A27" s="737"/>
      <c r="B27" s="738" t="s">
        <v>555</v>
      </c>
      <c r="C27" s="748"/>
      <c r="D27" s="748"/>
      <c r="E27" s="796"/>
      <c r="F27" s="797"/>
      <c r="G27" s="751"/>
    </row>
    <row r="28" spans="1:7" ht="4.5" customHeight="1">
      <c r="A28" s="737"/>
      <c r="B28" s="747"/>
      <c r="C28" s="748"/>
      <c r="D28" s="748"/>
      <c r="E28" s="796"/>
      <c r="F28" s="797"/>
      <c r="G28" s="751"/>
    </row>
    <row r="29" spans="1:7" ht="12">
      <c r="A29" s="737">
        <v>8</v>
      </c>
      <c r="B29" s="738" t="s">
        <v>469</v>
      </c>
      <c r="C29" s="748">
        <v>853</v>
      </c>
      <c r="D29" s="748">
        <v>85395</v>
      </c>
      <c r="E29" s="745">
        <v>10500</v>
      </c>
      <c r="F29" s="741">
        <v>0</v>
      </c>
      <c r="G29" s="751">
        <f>F29/E29</f>
        <v>0</v>
      </c>
    </row>
    <row r="30" spans="1:7" ht="4.5" customHeight="1" thickBot="1">
      <c r="A30" s="737"/>
      <c r="B30" s="747"/>
      <c r="C30" s="748"/>
      <c r="D30" s="748"/>
      <c r="E30" s="749"/>
      <c r="F30" s="1049"/>
      <c r="G30" s="751"/>
    </row>
    <row r="31" spans="1:7" ht="12">
      <c r="A31" s="886"/>
      <c r="B31" s="887"/>
      <c r="C31" s="888"/>
      <c r="D31" s="888"/>
      <c r="E31" s="889"/>
      <c r="F31" s="890"/>
      <c r="G31" s="891"/>
    </row>
    <row r="32" spans="1:7" ht="15.75" thickBot="1">
      <c r="A32" s="892"/>
      <c r="B32" s="893" t="s">
        <v>203</v>
      </c>
      <c r="C32" s="894" t="s">
        <v>517</v>
      </c>
      <c r="D32" s="894" t="s">
        <v>517</v>
      </c>
      <c r="E32" s="895">
        <f>E10+E12+E14+E17+E20+E22+E25+E29</f>
        <v>78900</v>
      </c>
      <c r="F32" s="895">
        <f>F10+F12+F14+F17+F20+F22+F25+F29</f>
        <v>68400</v>
      </c>
      <c r="G32" s="897">
        <f>SUM(F32/E32)</f>
        <v>0.8669201520912547</v>
      </c>
    </row>
    <row r="34" spans="5:8" ht="12">
      <c r="E34" s="1050"/>
      <c r="H34" s="753"/>
    </row>
    <row r="35" spans="5:6" ht="12">
      <c r="E35" s="1050"/>
      <c r="F35" s="899"/>
    </row>
    <row r="36" spans="5:6" ht="12">
      <c r="E36" s="1050"/>
      <c r="F36" s="899"/>
    </row>
    <row r="49" ht="12" customHeight="1">
      <c r="H49" s="798"/>
    </row>
    <row r="50" ht="12" customHeight="1">
      <c r="H50" s="798"/>
    </row>
    <row r="51" ht="12" customHeight="1">
      <c r="H51" s="798"/>
    </row>
    <row r="52" ht="12" customHeight="1">
      <c r="H52" s="843"/>
    </row>
    <row r="53" ht="12" customHeight="1">
      <c r="H53" s="798"/>
    </row>
    <row r="54" ht="12" customHeight="1">
      <c r="H54" s="798"/>
    </row>
    <row r="55" ht="12" customHeight="1">
      <c r="H55" s="798"/>
    </row>
    <row r="56" ht="12" customHeight="1">
      <c r="H56" s="798"/>
    </row>
  </sheetData>
  <mergeCells count="2">
    <mergeCell ref="A1:G1"/>
    <mergeCell ref="B2:G2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2008-11-14T13:40:05Z</cp:lastPrinted>
  <dcterms:created xsi:type="dcterms:W3CDTF">2008-03-21T10:56:44Z</dcterms:created>
  <dcterms:modified xsi:type="dcterms:W3CDTF">2008-11-19T16:10:07Z</dcterms:modified>
  <cp:category/>
  <cp:version/>
  <cp:contentType/>
  <cp:contentStatus/>
</cp:coreProperties>
</file>