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1-dochody" sheetId="1" r:id="rId1"/>
    <sheet name="1-dochody układzie rodzajowym" sheetId="2" r:id="rId2"/>
  </sheets>
  <definedNames>
    <definedName name="_xlnm.Print_Area" localSheetId="0">'1-dochody'!$A$1:$I$476</definedName>
    <definedName name="_xlnm.Print_Area" localSheetId="1">'1-dochody układzie rodzajowym'!$A$1:$D$72</definedName>
  </definedNames>
  <calcPr fullCalcOnLoad="1" fullPrecision="0"/>
</workbook>
</file>

<file path=xl/sharedStrings.xml><?xml version="1.0" encoding="utf-8"?>
<sst xmlns="http://schemas.openxmlformats.org/spreadsheetml/2006/main" count="594" uniqueCount="289">
  <si>
    <t xml:space="preserve">     l ) opłata za wydawanie zezwoleń na sprzedaż napojów </t>
  </si>
  <si>
    <t>Utrzymanie zieleni w miastach i gminach</t>
  </si>
  <si>
    <t>POZOSTAŁE ZADANIA W ZAKRESIE POLITYKI SPOŁECZNEJ</t>
  </si>
  <si>
    <t>ROLNICTWO I ŁOWIECTWO</t>
  </si>
  <si>
    <t>DZIAŁALNOŚĆ USŁUGOWA</t>
  </si>
  <si>
    <t>OGÓŁEM</t>
  </si>
  <si>
    <t>Środki na dofinansowanie własnych inwestycji gmin (związków gmin), powiatów (związków powiatów), samorządów województw, pozyskane z innych źródeł</t>
  </si>
  <si>
    <t>Dotacje celowe otrzymane z budżetu państwa na realizację inwestycji i zakupów inwestycyjnych własnych gmin (związków gmin)</t>
  </si>
  <si>
    <t>0979</t>
  </si>
  <si>
    <t>2708</t>
  </si>
  <si>
    <t>Grzywny, mandaty i inne kary pieniężne od osób fizycznych</t>
  </si>
  <si>
    <t>0460</t>
  </si>
  <si>
    <t>Wpływy z opłaty eksploatacyjnej</t>
  </si>
  <si>
    <t>Wpływy z opłat za wydawanie zezwoleń na sprzedaż alkoholu</t>
  </si>
  <si>
    <t>2680</t>
  </si>
  <si>
    <t>Rekompensaty utraconych dochodów w podatkach i opłatach lokalnych</t>
  </si>
  <si>
    <t>Dotacje otrzymane z funduszy celowych na realizację zadań bieżących jednostek sektora finansów publicznych</t>
  </si>
  <si>
    <t>Sprawozdanie</t>
  </si>
  <si>
    <t>z wykonania budżetu Gminy Police</t>
  </si>
  <si>
    <t xml:space="preserve">     o) odsetki</t>
  </si>
  <si>
    <t xml:space="preserve">     p) pozostałe</t>
  </si>
  <si>
    <t>Wpływy z podatku rolnego, podatku leśnego, podatku od czynności</t>
  </si>
  <si>
    <t>cywilnoprawnych, podatków i opłat lokalnych od osób prawnych</t>
  </si>
  <si>
    <t>podatku od czynności cywilnoprawnych oraz podatków i opłat lokalnych</t>
  </si>
  <si>
    <t>od osób fizycznych</t>
  </si>
  <si>
    <t xml:space="preserve">Świadczenia rodzinne, zaliczka alimentacyjna oraz składki </t>
  </si>
  <si>
    <t>na ubezpieczenia emerytalne i rentowe z ubezpieczenia społecznego</t>
  </si>
  <si>
    <t>1.1.1.1. Ogółem według działów.</t>
  </si>
  <si>
    <t>Realizacja                  4:3</t>
  </si>
  <si>
    <t xml:space="preserve">URZĘDY NACZELNYCH ORGANÓW WŁADZY PAŃSTWOWEJ, </t>
  </si>
  <si>
    <t xml:space="preserve">DOCHODY OD OSÓB PRAWNYCH, OD OSÓB FIZYCZNYCH </t>
  </si>
  <si>
    <t>I OD INNYCH JEDNOSTEK NIEPOSIADAJĄCYCH OSOBOWOŚCI PRAWNEJ</t>
  </si>
  <si>
    <t>1.1.1.2. Dochody związane z realizacją zadań własnych.</t>
  </si>
  <si>
    <t>Realizacja                  6:5</t>
  </si>
  <si>
    <t>WYTWARZANIE I ZAOPATRYWANIE 
W ENERGIĘ ELEKTRYCZNĄ, GAZ I WODĘ</t>
  </si>
  <si>
    <t>2709</t>
  </si>
  <si>
    <t>Wpływy z podatku rolnego, podatku leśnego, podatku od spadków i darowizn,</t>
  </si>
  <si>
    <t xml:space="preserve">Udziały gmin w podatkach stanowiących </t>
  </si>
  <si>
    <t>2460</t>
  </si>
  <si>
    <t>Środki otrzymane od pozostałych jednostek zaliczanych do sektora finansów publicznych na realizację zadań bieżących jednostek zaliczanych do sektora finansów publicznych</t>
  </si>
  <si>
    <t>1.1.1.3. Dochody związane z realizacją zadań zleconych z zakresu administracji rządowej i innych zadań zleconych ustawami.</t>
  </si>
  <si>
    <t>1.1.2. Zestawienie wykonania dochodów w układzie rodzajowym.</t>
  </si>
  <si>
    <t>Realizacja                                     3:2</t>
  </si>
  <si>
    <t xml:space="preserve">   Dochody ogółem:</t>
  </si>
  <si>
    <t xml:space="preserve">     i ) udziały w podatkach stanowiących</t>
  </si>
  <si>
    <t xml:space="preserve">         alkoholowych</t>
  </si>
  <si>
    <t xml:space="preserve">     ł ) opłata eksploatacyjna</t>
  </si>
  <si>
    <t xml:space="preserve">    m) opłata skarbowa</t>
  </si>
  <si>
    <t xml:space="preserve">     n) rekompensaty utraconych dochodów podatkowych</t>
  </si>
  <si>
    <t xml:space="preserve">        - dzierżawa na targowisku</t>
  </si>
  <si>
    <t>ogółem</t>
  </si>
  <si>
    <t xml:space="preserve">        - dotacje, z tego:</t>
  </si>
  <si>
    <t xml:space="preserve">          - z budżetu państwa</t>
  </si>
  <si>
    <t xml:space="preserve">        - środki, z tego:</t>
  </si>
  <si>
    <t xml:space="preserve">          - z funduszy strukturalnych INTERREG III</t>
  </si>
  <si>
    <t>Zakłady gospodarki mieszkaniowej</t>
  </si>
  <si>
    <t>Plany zagospodarowania przestrzennego</t>
  </si>
  <si>
    <t>Dokształcanie i doskonalenie nauczycieli</t>
  </si>
  <si>
    <t>Oświetlenie ulic, placów i dróg</t>
  </si>
  <si>
    <t>Obiekty sportowe</t>
  </si>
  <si>
    <t>Zadania w zakresie kultury fizycznej i sportu</t>
  </si>
  <si>
    <t>Drogi publiczne wojewódzkie</t>
  </si>
  <si>
    <t>Dostarczanie wody</t>
  </si>
  <si>
    <t>Drogi publiczne gminne</t>
  </si>
  <si>
    <t>Zadania w zakresie upowszechniania turystyki</t>
  </si>
  <si>
    <t>Gospodarka gruntami i nieruchomościami</t>
  </si>
  <si>
    <t>KULTURA I OCHRONA DZIEDZICTWA NARODOWEGO</t>
  </si>
  <si>
    <t>2440</t>
  </si>
  <si>
    <t>Pozostała działalność</t>
  </si>
  <si>
    <t>BEZPIECZEŃSTWO PUBLICZNE I OCHRONA</t>
  </si>
  <si>
    <t>PRZECIWPOŻAROWA</t>
  </si>
  <si>
    <t>Straż Miejska</t>
  </si>
  <si>
    <t>Wpływy z innych opłat stanowiących dochody</t>
  </si>
  <si>
    <t>dochód budżetu państwa</t>
  </si>
  <si>
    <t>Szkoły podstawowe</t>
  </si>
  <si>
    <t>Gimnazja</t>
  </si>
  <si>
    <t>Gospodarka odpadami</t>
  </si>
  <si>
    <t>Paragraf</t>
  </si>
  <si>
    <t>Urzędy naczelnych organów władzy państwowej,</t>
  </si>
  <si>
    <t>kontroli i ochrony prawa</t>
  </si>
  <si>
    <t>Ochotnicze straże pożarne</t>
  </si>
  <si>
    <t>Wpływy i wydatki związane z gromadzeniem środków</t>
  </si>
  <si>
    <t>z opłat produktowych</t>
  </si>
  <si>
    <t>0760</t>
  </si>
  <si>
    <t>Wpływy z tytułu przekształcenia prawa użytkowania wieczystego przysługującego osobom fizycznym w prawo własności</t>
  </si>
  <si>
    <t>2360</t>
  </si>
  <si>
    <t>Dochody jednostek samorządu terytorialnego związane z realizacją zadań z zakresu administracji rządowej oraz innych zadań zleconych ustawami</t>
  </si>
  <si>
    <t>Dotacje celowe otrzymane z budżetu państwa na realizację zadań</t>
  </si>
  <si>
    <t>bieżących z zakresu administracji rządowej oraz innych zadań</t>
  </si>
  <si>
    <t>zleconych gminie (związkom gmin) ustawami</t>
  </si>
  <si>
    <t>URZĘDY NACZELNYCH ORGANÓW WŁADZY PAŃSTWOWEJ</t>
  </si>
  <si>
    <t>KONTROLI I OCHRONY PRAWA ORAZ SĄDOWNICTWA</t>
  </si>
  <si>
    <t>Drogi publiczne powiatowe</t>
  </si>
  <si>
    <t>KULTURA FIZYCZNA I SPORT</t>
  </si>
  <si>
    <t>Przedszkola</t>
  </si>
  <si>
    <t>Gospodarka ściekowa i ochrona wód</t>
  </si>
  <si>
    <t>1.1. Zestawienie wykonania dochodów budżetu Gminy Police.</t>
  </si>
  <si>
    <t>1. CZĘŚĆ TABELARYCZNA</t>
  </si>
  <si>
    <t>Domy i ośrodki kultury, świetlice i kluby</t>
  </si>
  <si>
    <t>Urzędy wojewódzkie</t>
  </si>
  <si>
    <t>w zł</t>
  </si>
  <si>
    <t>jednostek samorządu terytorialnego na podstawie ustaw</t>
  </si>
  <si>
    <t>Dotacje celowe otrzymane z budżetu państwa na realizację własnych zadań bieżących gmin (związków gmin)</t>
  </si>
  <si>
    <t>Pomoc materialna dla uczniów</t>
  </si>
  <si>
    <t>Wykonanie</t>
  </si>
  <si>
    <t>2370</t>
  </si>
  <si>
    <t>0870</t>
  </si>
  <si>
    <t>Wpływy ze sprzedaży składników majątkowych</t>
  </si>
  <si>
    <t>i innych jednostek organizacyjnych</t>
  </si>
  <si>
    <t>Instytucje kultury fizycznej</t>
  </si>
  <si>
    <t>Wpływy ze zwrotów dotacji wykorzystanych niezgodnie z przeznaczeniem lub pobranych w nadmiernej wysokości</t>
  </si>
  <si>
    <t>Promocja jednostek samorządu terytorialnego</t>
  </si>
  <si>
    <t>Dochody z najmu i dzierżawy składników majątkowych Skarbu Państwa, jednostek samorządu terytorialnego lub innych jednostek zaliczanych do sektora finansów publicznych oraz innych umów o podobnym charakterze</t>
  </si>
  <si>
    <t>Część równoważąca subwencji ogólnej dla gmin</t>
  </si>
  <si>
    <t>Część oświatowa subwencji ogólnej dla jednostek samorządu terytorialnego</t>
  </si>
  <si>
    <t>2030</t>
  </si>
  <si>
    <t>POMOC SPOŁECZNA</t>
  </si>
  <si>
    <t>FIZYCZNYCH I OD INNYCH JEDNOSTEK</t>
  </si>
  <si>
    <t>ORAZ WYDATKI ZWIĄZANE Z ICH POBOREM</t>
  </si>
  <si>
    <t>NIEPOSIADAJĄCYCH OSOBOWOŚCI PRAWNEJ</t>
  </si>
  <si>
    <t>Usługi opiekuńcze i specjalistyczne usługi opiekuńcze</t>
  </si>
  <si>
    <t>Wpływy z podatku dochodowego od osób fizycznych</t>
  </si>
  <si>
    <t xml:space="preserve">         - w podatku doch. od osób fizycznych</t>
  </si>
  <si>
    <t>Ośrodki wsparcia</t>
  </si>
  <si>
    <t>Ośrodki pomocy społecznej</t>
  </si>
  <si>
    <t>0470</t>
  </si>
  <si>
    <t>0920</t>
  </si>
  <si>
    <t>0970</t>
  </si>
  <si>
    <t>0590</t>
  </si>
  <si>
    <t>0690</t>
  </si>
  <si>
    <t>0570</t>
  </si>
  <si>
    <t>0310</t>
  </si>
  <si>
    <t>0320</t>
  </si>
  <si>
    <t>0330</t>
  </si>
  <si>
    <t>0340</t>
  </si>
  <si>
    <t>0350</t>
  </si>
  <si>
    <t>0360</t>
  </si>
  <si>
    <t>0370</t>
  </si>
  <si>
    <t>0010</t>
  </si>
  <si>
    <t>0020</t>
  </si>
  <si>
    <t>0410</t>
  </si>
  <si>
    <t>0430</t>
  </si>
  <si>
    <t>0480</t>
  </si>
  <si>
    <t>0490</t>
  </si>
  <si>
    <t>0500</t>
  </si>
  <si>
    <t>0560</t>
  </si>
  <si>
    <t>0910</t>
  </si>
  <si>
    <t>2920</t>
  </si>
  <si>
    <t>0830</t>
  </si>
  <si>
    <t>0400</t>
  </si>
  <si>
    <t>0750</t>
  </si>
  <si>
    <t>Dotacje otrzymane z funduszy celowych na finansowanie lub dofinansowanie kosztów realizacji inwestycji i zakupów inwestycyjnych jednostek sektora finansów publicznych</t>
  </si>
  <si>
    <t>GOSPODARKA KOMUNALNA I OCHRONA ŚRODOWISKA</t>
  </si>
  <si>
    <t xml:space="preserve">     b) na zadania z zakresu administracji rządowej oraz inne zlecone ustawami,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</si>
  <si>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</si>
  <si>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</si>
  <si>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>Wpływy z różnych dochodów</t>
  </si>
  <si>
    <t>Wpływy z opłat za koncesje i licencje</t>
  </si>
  <si>
    <t>Wpływy z różnych opłat</t>
  </si>
  <si>
    <t>Podatek dochodowy od osób fizycznych</t>
  </si>
  <si>
    <t>Podatek dochodowy od osób prawnych</t>
  </si>
  <si>
    <t>Wpływy z usług</t>
  </si>
  <si>
    <t>Wpływy z opłaty produktowej</t>
  </si>
  <si>
    <t>Pozostałe odsetki</t>
  </si>
  <si>
    <t>Podatek od nieruchomości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</si>
  <si>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</si>
  <si>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</si>
  <si>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</si>
  <si>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</si>
  <si>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</si>
  <si>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Wpływy z opłaty skarbowej</t>
  </si>
  <si>
    <t>Wpływy z opłaty targowej</t>
  </si>
  <si>
    <t>Wpływy z innych lokalnych opłat pobieranych przez jednostki samorządu terytorialnego na podstawie odrębnych ustaw</t>
  </si>
  <si>
    <t>Podatek od czynności cywilnoprawnych</t>
  </si>
  <si>
    <t>Odsetki od nieterminowych wpłat z tytułu podatków i opłat</t>
  </si>
  <si>
    <t>na 1 mieszkańca</t>
  </si>
  <si>
    <t>majątkowe</t>
  </si>
  <si>
    <t>własne</t>
  </si>
  <si>
    <t>Zaległości z podatków zniesionych</t>
  </si>
  <si>
    <t>0580</t>
  </si>
  <si>
    <t>Grzywny i inne kary pieniężne od osób prawnych i innych jednostek organizacyjnych</t>
  </si>
  <si>
    <t xml:space="preserve">Świadczenia rodzinne, zaliczka alimentacyjna oraz składki na </t>
  </si>
  <si>
    <t>ubezpieczenia emerytalne i rentowe z ubezpieczenia społecznego</t>
  </si>
  <si>
    <t>bieżące</t>
  </si>
  <si>
    <t>Różne rozliczenia finansowe</t>
  </si>
  <si>
    <t>Komendy powiatowe Policji</t>
  </si>
  <si>
    <t>01095</t>
  </si>
  <si>
    <t>Urzędy gmin (miast i miast na prawach powiatu)</t>
  </si>
  <si>
    <t>Subwencje ogólne z budżetu państwa</t>
  </si>
  <si>
    <t>Wyszczególnienie</t>
  </si>
  <si>
    <t>Plan</t>
  </si>
  <si>
    <t xml:space="preserve">   1. Dochody podatkowe:</t>
  </si>
  <si>
    <t xml:space="preserve">     a) podatek od nieruchomości</t>
  </si>
  <si>
    <t xml:space="preserve">Wykonanie </t>
  </si>
  <si>
    <t>dochody bieżące</t>
  </si>
  <si>
    <t>dochody majątkowe</t>
  </si>
  <si>
    <t>EDUKACJA OPIEKA WYCHOWAWCZA</t>
  </si>
  <si>
    <t>Wpływy z rożnych dochodów</t>
  </si>
  <si>
    <t>Wpłata do budżetu nadwyżki środków obrotowych przez zakład budżetowy</t>
  </si>
  <si>
    <t>0770</t>
  </si>
  <si>
    <t>Wpłaty z tytułu odpłatnego nabycia prawa własności oraz prawa użytkowania wieczystego nieruchomości</t>
  </si>
  <si>
    <t>Grzywny i inne kary pieniężne od osób prawnych innych jednostek organizacyjnych</t>
  </si>
  <si>
    <t>0740</t>
  </si>
  <si>
    <t>Wpływy z dywidend</t>
  </si>
  <si>
    <t>Opłata od posiadania psów</t>
  </si>
  <si>
    <t>Pobór podatków, opłat i niepodatkowych należności budżetowych</t>
  </si>
  <si>
    <t>Prywatyzacja</t>
  </si>
  <si>
    <t>6260</t>
  </si>
  <si>
    <t>Pozostałe zadania w zakresie polityki społecznej</t>
  </si>
  <si>
    <t xml:space="preserve">Dotacje rozwojowe oraz środki na finansowanie Wspólnej Polityki Rolnej </t>
  </si>
  <si>
    <t>6208</t>
  </si>
  <si>
    <t>Dotacje rozwojowe</t>
  </si>
  <si>
    <t xml:space="preserve">Pozostała działalność </t>
  </si>
  <si>
    <t>Wpływy z tytułu pomocy finansowej udzielanej między jednostkami samorządu terytorialnego na dofinansowanie własnych zadań inwestycyjnych i zakupów inwestycyjnych</t>
  </si>
  <si>
    <t xml:space="preserve">Składki na ubezpieczenia zdrowotne opłacane za osoby pobierające </t>
  </si>
  <si>
    <t>niektóre świadczenia z pomocy społecznej, niektóre świadczenia rodzinne</t>
  </si>
  <si>
    <t>oraz za osoby uczestniczące w zajęciach w centrum integracji społecznej</t>
  </si>
  <si>
    <t>Zasiłki i pomoc w naturze oraz składki na ubezpieczenie emerytalne i rentowe</t>
  </si>
  <si>
    <t>1.1.1.4. Dochody związane z realizacją zadań wykonywanych na podstawie porozumień (umów) między jednostkami samorządu terytorialnego.</t>
  </si>
  <si>
    <t>Dotacje celowe otrzymane z powiatu na inwestycje i zakupy inwestycyjne realizowane na podstawie porozumień (umów) między jednostkami samorządu terytorialnego</t>
  </si>
  <si>
    <t>1.1.1.5. Dochody związane z realizacją zadań wspólnych wykonywanych w drodze umów lub porozumień między jednostkami samorządu terytorialnego.</t>
  </si>
  <si>
    <t>1.1.1.6. Dochody związane z realizacją zadań wykonywanych w drodze umów lub porozumień między organami administracji rządowej.</t>
  </si>
  <si>
    <t>Dotacje celowe otrzymane z budżetu państwa na zadania bieżące realizowane przez gminę na podstawie porozumień z organami administracji rządowej</t>
  </si>
  <si>
    <t>1.1.1.7. Dochody podlegające przekazaniu do budżetu państwa.</t>
  </si>
  <si>
    <t>1.1.1. Zestawienie wykonania dochodów budżetu Gminy Police według działów, rozdziałów i paragrafów klasyfikacji budżetowej.</t>
  </si>
  <si>
    <t xml:space="preserve">     c) opłata od posiadania psów</t>
  </si>
  <si>
    <t xml:space="preserve">          - rozwojowe z Programu Operacyjnego Kapitał Ludzki, z tego:</t>
  </si>
  <si>
    <t xml:space="preserve">               ∙ ze środków pomocowych</t>
  </si>
  <si>
    <t xml:space="preserve">               ∙ z budżetu państwa na sfinansowanie wkładu własnego</t>
  </si>
  <si>
    <t xml:space="preserve">               ∙ z Gminnego Funduszu Ochrony Środowiska i Gospodarki Wodnej</t>
  </si>
  <si>
    <t xml:space="preserve">               ∙ z Wojewódzkiego Funduszu Ochrony Środowiska i Gospodarki Wodnej</t>
  </si>
  <si>
    <t xml:space="preserve">               ∙ z Powiatowego Funduszu Ochrony Środowiska i Gospodarki Wodnej</t>
  </si>
  <si>
    <t xml:space="preserve">          - z Polsko - Niemieckiej Współpracy Młodzieży</t>
  </si>
  <si>
    <t xml:space="preserve">          - z Europejskiego Funduszu Społecznego</t>
  </si>
  <si>
    <t xml:space="preserve">          - z Narodowego Centrum Kultury w Warszawie</t>
  </si>
  <si>
    <t xml:space="preserve">          - z STU Ergo Hestia SA</t>
  </si>
  <si>
    <t xml:space="preserve">          - z Województwa Zachodniopomorskiego</t>
  </si>
  <si>
    <t xml:space="preserve">         z tego:</t>
  </si>
  <si>
    <t xml:space="preserve">     c) na zadania realizowane przez gminę na podstawie porozumień, z tego:</t>
  </si>
  <si>
    <t xml:space="preserve">         - dotacje rozwojowe z Programu Operacyjnego Kapitał Ludzki, z tego:</t>
  </si>
  <si>
    <t xml:space="preserve">               ∙ z budżetu państwa na dofinansowanie wkładu własnego</t>
  </si>
  <si>
    <t xml:space="preserve">     e) na zadania realizowane przez gminę w drodze umów lub porozumień </t>
  </si>
  <si>
    <t xml:space="preserve">         z organami administracji rządowej, z tego:</t>
  </si>
  <si>
    <t xml:space="preserve">     d) na zadania realizowane przez gminę wspólnie w drodze umów lub 
          porozumień między jednostkami samorządu terytorialnego:</t>
  </si>
  <si>
    <t xml:space="preserve">     b) podatek od środków transportowych</t>
  </si>
  <si>
    <t xml:space="preserve">     d) podatki zniesione</t>
  </si>
  <si>
    <t xml:space="preserve">     e) opłata targowa</t>
  </si>
  <si>
    <t xml:space="preserve">     f ) podatek od spadków i darowizn</t>
  </si>
  <si>
    <t xml:space="preserve">     g) podatki z karty podatkowej</t>
  </si>
  <si>
    <t xml:space="preserve">         - dotacja z Powiatu Polickiego</t>
  </si>
  <si>
    <t xml:space="preserve">     h) podatek od czynności cywilnoprawnych</t>
  </si>
  <si>
    <t xml:space="preserve">         dochód budżetu państwa:</t>
  </si>
  <si>
    <t xml:space="preserve">         - w podatku doch. od osób prawnych</t>
  </si>
  <si>
    <t xml:space="preserve">     j ) podatek rolny</t>
  </si>
  <si>
    <t xml:space="preserve">     k) podatek leśny</t>
  </si>
  <si>
    <t xml:space="preserve">  2. Dochody z majątku gminy:</t>
  </si>
  <si>
    <t xml:space="preserve">     a) wieczyste użytkowanie, zarząd, użytkowanie</t>
  </si>
  <si>
    <t>Zasiłki i pomoc w naturze oraz składki na ubezpieczenia emerytalne i rentowe</t>
  </si>
  <si>
    <t>Środki na dofinansowanie własnych zadań bieżących gmin (związków gmin), powiatów (związków powiatów), samorządów województw, pozyskane z innych źródeł</t>
  </si>
  <si>
    <t xml:space="preserve">     b) dzierżawa gruntu i mienia, w tym:</t>
  </si>
  <si>
    <t xml:space="preserve">     c) sprzedaż mienia</t>
  </si>
  <si>
    <t xml:space="preserve">     d) pozostałe</t>
  </si>
  <si>
    <t xml:space="preserve">  3. Subwencje:</t>
  </si>
  <si>
    <t xml:space="preserve">  5. Pozostałe dochody</t>
  </si>
  <si>
    <t>Dział</t>
  </si>
  <si>
    <t xml:space="preserve">              Treść</t>
  </si>
  <si>
    <t>TRANSPORT I ŁĄCZNOŚĆ</t>
  </si>
  <si>
    <t>TURYSTYKA</t>
  </si>
  <si>
    <t>GOSPODARKA MIESZKANIOWA</t>
  </si>
  <si>
    <t>ADMINISTRACJA PUBLICZNA</t>
  </si>
  <si>
    <t>BEZPIECZEŃSTWO PUBLICZNE</t>
  </si>
  <si>
    <t xml:space="preserve">     a) część oświatowa subwencji ogólnej dla jst</t>
  </si>
  <si>
    <t xml:space="preserve">     b) część równoważąca subwencji ogólnej dla gmin</t>
  </si>
  <si>
    <t xml:space="preserve">  4. Dotacje i środki:</t>
  </si>
  <si>
    <t xml:space="preserve">     a) na zadania własne, z tego:</t>
  </si>
  <si>
    <t xml:space="preserve">         - dotacje z budżetu państwa</t>
  </si>
  <si>
    <t>I OCHRONA PRZECIWPOŻAROWA</t>
  </si>
  <si>
    <t>DOCHODY OD OSÓB PRAWNYCH, OD OSÓB</t>
  </si>
  <si>
    <t>RÓŻNE ROZLICZENIA</t>
  </si>
  <si>
    <t>OŚWIATA I WYCHOWANIE</t>
  </si>
  <si>
    <t>OCHRONA ZDROWIA</t>
  </si>
  <si>
    <t>RAZEM</t>
  </si>
  <si>
    <t>Rozdział</t>
  </si>
  <si>
    <t>Treść</t>
  </si>
  <si>
    <t>z tego:</t>
  </si>
  <si>
    <t>010</t>
  </si>
  <si>
    <t>za 2008 rok</t>
  </si>
  <si>
    <t xml:space="preserve">          - z funduszy celowych, z tego:</t>
  </si>
  <si>
    <t xml:space="preserve">          - rozwojowe ze środków pomocowych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</si>
</sst>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0\ _z_ł_-;\-* #,##0.00\ _z_ł_-;_-* &quot;-&quot;\ _z_ł_-;_-@_-"/>
    <numFmt numFmtId="184" formatCode="#,##0.00\ &quot;zł&quot;"/>
    <numFmt numFmtId="185" formatCode="0.000%"/>
  </numFmts>
  <fonts count="58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color indexed="18"/>
      <name val="Times New Roman"/>
      <family val="1"/>
    </font>
    <font>
      <b/>
      <sz val="18"/>
      <color indexed="20"/>
      <name val="Times New Roman"/>
      <family val="1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b/>
      <sz val="9"/>
      <color indexed="10"/>
      <name val="Arial CE"/>
      <family val="2"/>
    </font>
    <font>
      <sz val="10"/>
      <name val="Arial"/>
      <family val="0"/>
    </font>
    <font>
      <b/>
      <sz val="11"/>
      <color indexed="10"/>
      <name val="Arial CE"/>
      <family val="0"/>
    </font>
    <font>
      <sz val="11"/>
      <color indexed="10"/>
      <name val="Arial CE"/>
      <family val="0"/>
    </font>
    <font>
      <i/>
      <u val="single"/>
      <sz val="9"/>
      <color indexed="10"/>
      <name val="Arial CE"/>
      <family val="2"/>
    </font>
    <font>
      <sz val="8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14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10" fillId="0" borderId="0" xfId="52" applyFont="1" applyAlignment="1">
      <alignment horizontal="centerContinuous"/>
      <protection/>
    </xf>
    <xf numFmtId="0" fontId="7" fillId="0" borderId="0" xfId="52" applyFont="1" applyAlignment="1">
      <alignment horizontal="centerContinuous"/>
      <protection/>
    </xf>
    <xf numFmtId="0" fontId="9" fillId="0" borderId="0" xfId="52" applyFont="1">
      <alignment/>
      <protection/>
    </xf>
    <xf numFmtId="0" fontId="0" fillId="0" borderId="0" xfId="52" applyFont="1">
      <alignment/>
      <protection/>
    </xf>
    <xf numFmtId="49" fontId="0" fillId="0" borderId="0" xfId="52" applyNumberFormat="1" applyFont="1">
      <alignment/>
      <protection/>
    </xf>
    <xf numFmtId="0" fontId="0" fillId="0" borderId="0" xfId="52" applyFont="1" applyAlignment="1">
      <alignment horizontal="left"/>
      <protection/>
    </xf>
    <xf numFmtId="0" fontId="9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 wrapText="1"/>
    </xf>
    <xf numFmtId="3" fontId="4" fillId="0" borderId="2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4" fillId="0" borderId="21" xfId="0" applyFont="1" applyBorder="1" applyAlignment="1">
      <alignment vertical="center"/>
    </xf>
    <xf numFmtId="4" fontId="4" fillId="0" borderId="14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/>
    </xf>
    <xf numFmtId="43" fontId="4" fillId="0" borderId="12" xfId="0" applyNumberFormat="1" applyFont="1" applyBorder="1" applyAlignment="1">
      <alignment horizontal="right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1" xfId="0" applyFont="1" applyFill="1" applyBorder="1" applyAlignment="1">
      <alignment vertical="center"/>
    </xf>
    <xf numFmtId="10" fontId="4" fillId="0" borderId="25" xfId="55" applyNumberFormat="1" applyFont="1" applyFill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right"/>
    </xf>
    <xf numFmtId="10" fontId="4" fillId="0" borderId="27" xfId="55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10" fontId="4" fillId="0" borderId="30" xfId="55" applyNumberFormat="1" applyFont="1" applyFill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3" fontId="4" fillId="0" borderId="15" xfId="0" applyNumberFormat="1" applyFont="1" applyBorder="1" applyAlignment="1">
      <alignment horizontal="right" wrapText="1"/>
    </xf>
    <xf numFmtId="10" fontId="4" fillId="0" borderId="31" xfId="55" applyNumberFormat="1" applyFont="1" applyFill="1" applyBorder="1" applyAlignment="1">
      <alignment horizontal="right" wrapText="1"/>
    </xf>
    <xf numFmtId="0" fontId="4" fillId="0" borderId="15" xfId="0" applyFont="1" applyBorder="1" applyAlignment="1">
      <alignment vertical="center" wrapText="1"/>
    </xf>
    <xf numFmtId="43" fontId="4" fillId="0" borderId="29" xfId="0" applyNumberFormat="1" applyFont="1" applyBorder="1" applyAlignment="1">
      <alignment horizontal="right" wrapText="1"/>
    </xf>
    <xf numFmtId="10" fontId="4" fillId="0" borderId="32" xfId="55" applyNumberFormat="1" applyFont="1" applyFill="1" applyBorder="1" applyAlignment="1">
      <alignment horizontal="right" wrapText="1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right"/>
    </xf>
    <xf numFmtId="3" fontId="4" fillId="0" borderId="33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10" fontId="4" fillId="0" borderId="25" xfId="55" applyNumberFormat="1" applyFont="1" applyFill="1" applyBorder="1" applyAlignment="1">
      <alignment horizontal="right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3" fontId="4" fillId="0" borderId="23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0" fontId="4" fillId="0" borderId="18" xfId="55" applyNumberFormat="1" applyFont="1" applyFill="1" applyBorder="1" applyAlignment="1">
      <alignment horizontal="right" wrapText="1"/>
    </xf>
    <xf numFmtId="0" fontId="8" fillId="33" borderId="39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4" borderId="15" xfId="0" applyFont="1" applyFill="1" applyBorder="1" applyAlignment="1">
      <alignment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0" fontId="4" fillId="0" borderId="40" xfId="55" applyNumberFormat="1" applyFont="1" applyFill="1" applyBorder="1" applyAlignment="1">
      <alignment horizontal="right" wrapText="1"/>
    </xf>
    <xf numFmtId="3" fontId="4" fillId="0" borderId="21" xfId="42" applyNumberFormat="1" applyFont="1" applyBorder="1" applyAlignment="1">
      <alignment horizontal="right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49" fontId="4" fillId="0" borderId="36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0" fontId="7" fillId="0" borderId="42" xfId="55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/>
    </xf>
    <xf numFmtId="43" fontId="5" fillId="0" borderId="41" xfId="0" applyNumberFormat="1" applyFont="1" applyBorder="1" applyAlignment="1">
      <alignment horizontal="right" wrapText="1"/>
    </xf>
    <xf numFmtId="0" fontId="7" fillId="0" borderId="44" xfId="0" applyFont="1" applyBorder="1" applyAlignment="1">
      <alignment horizontal="center" vertical="center"/>
    </xf>
    <xf numFmtId="0" fontId="16" fillId="0" borderId="0" xfId="0" applyFont="1" applyAlignment="1">
      <alignment horizontal="centerContinuous"/>
    </xf>
    <xf numFmtId="0" fontId="2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52" applyFont="1" applyBorder="1">
      <alignment/>
      <protection/>
    </xf>
    <xf numFmtId="0" fontId="0" fillId="0" borderId="20" xfId="52" applyFont="1" applyBorder="1">
      <alignment/>
      <protection/>
    </xf>
    <xf numFmtId="0" fontId="5" fillId="0" borderId="26" xfId="0" applyFont="1" applyBorder="1" applyAlignment="1">
      <alignment/>
    </xf>
    <xf numFmtId="0" fontId="7" fillId="0" borderId="46" xfId="0" applyFont="1" applyBorder="1" applyAlignment="1">
      <alignment/>
    </xf>
    <xf numFmtId="10" fontId="1" fillId="0" borderId="42" xfId="55" applyNumberFormat="1" applyFont="1" applyFill="1" applyBorder="1" applyAlignment="1">
      <alignment horizontal="right" wrapText="1"/>
    </xf>
    <xf numFmtId="10" fontId="4" fillId="0" borderId="42" xfId="55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5" fillId="0" borderId="0" xfId="0" applyFont="1" applyBorder="1" applyAlignment="1">
      <alignment/>
    </xf>
    <xf numFmtId="0" fontId="22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7" fillId="33" borderId="47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5" fillId="0" borderId="48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48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4" fillId="0" borderId="48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1" fillId="33" borderId="49" xfId="0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0" fontId="4" fillId="0" borderId="50" xfId="0" applyFont="1" applyBorder="1" applyAlignment="1">
      <alignment/>
    </xf>
    <xf numFmtId="4" fontId="4" fillId="0" borderId="22" xfId="0" applyNumberFormat="1" applyFont="1" applyBorder="1" applyAlignment="1">
      <alignment/>
    </xf>
    <xf numFmtId="0" fontId="4" fillId="0" borderId="48" xfId="0" applyFont="1" applyBorder="1" applyAlignment="1">
      <alignment wrapText="1"/>
    </xf>
    <xf numFmtId="0" fontId="0" fillId="33" borderId="46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" fontId="1" fillId="33" borderId="15" xfId="0" applyNumberFormat="1" applyFont="1" applyFill="1" applyBorder="1" applyAlignment="1">
      <alignment horizontal="center" vertical="center" wrapText="1"/>
    </xf>
    <xf numFmtId="4" fontId="1" fillId="33" borderId="3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4" fillId="0" borderId="49" xfId="0" applyNumberFormat="1" applyFont="1" applyFill="1" applyBorder="1" applyAlignment="1">
      <alignment horizontal="center" vertical="center"/>
    </xf>
    <xf numFmtId="4" fontId="4" fillId="0" borderId="21" xfId="0" applyNumberFormat="1" applyFont="1" applyBorder="1" applyAlignment="1">
      <alignment horizontal="right"/>
    </xf>
    <xf numFmtId="10" fontId="4" fillId="0" borderId="51" xfId="55" applyNumberFormat="1" applyFont="1" applyFill="1" applyBorder="1" applyAlignment="1">
      <alignment horizontal="right"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10" xfId="0" applyFont="1" applyBorder="1" applyAlignment="1">
      <alignment horizontal="centerContinuous"/>
    </xf>
    <xf numFmtId="4" fontId="4" fillId="0" borderId="10" xfId="0" applyNumberFormat="1" applyFont="1" applyBorder="1" applyAlignment="1">
      <alignment horizontal="centerContinuous"/>
    </xf>
    <xf numFmtId="4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22" xfId="0" applyFont="1" applyBorder="1" applyAlignment="1">
      <alignment horizontal="centerContinuous"/>
    </xf>
    <xf numFmtId="4" fontId="4" fillId="0" borderId="22" xfId="0" applyNumberFormat="1" applyFont="1" applyBorder="1" applyAlignment="1">
      <alignment horizontal="centerContinuous"/>
    </xf>
    <xf numFmtId="4" fontId="4" fillId="0" borderId="37" xfId="0" applyNumberFormat="1" applyFont="1" applyBorder="1" applyAlignment="1">
      <alignment horizontal="centerContinuous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4" fillId="0" borderId="50" xfId="0" applyFont="1" applyFill="1" applyBorder="1" applyAlignment="1">
      <alignment vertical="center"/>
    </xf>
    <xf numFmtId="0" fontId="4" fillId="0" borderId="22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0" fontId="4" fillId="0" borderId="49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5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right"/>
    </xf>
    <xf numFmtId="0" fontId="4" fillId="0" borderId="5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3" fontId="4" fillId="0" borderId="2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right"/>
    </xf>
    <xf numFmtId="0" fontId="4" fillId="0" borderId="55" xfId="0" applyFont="1" applyFill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3" fontId="1" fillId="0" borderId="4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10" fontId="4" fillId="0" borderId="19" xfId="55" applyNumberFormat="1" applyFont="1" applyFill="1" applyBorder="1" applyAlignment="1">
      <alignment horizontal="right" wrapText="1"/>
    </xf>
    <xf numFmtId="0" fontId="0" fillId="0" borderId="0" xfId="0" applyFont="1" applyAlignment="1">
      <alignment horizontal="left" vertical="center"/>
    </xf>
    <xf numFmtId="0" fontId="4" fillId="0" borderId="55" xfId="0" applyFont="1" applyBorder="1" applyAlignment="1">
      <alignment vertical="center"/>
    </xf>
    <xf numFmtId="4" fontId="7" fillId="0" borderId="11" xfId="0" applyNumberFormat="1" applyFont="1" applyBorder="1" applyAlignment="1">
      <alignment/>
    </xf>
    <xf numFmtId="4" fontId="7" fillId="0" borderId="48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3" fontId="4" fillId="0" borderId="57" xfId="0" applyNumberFormat="1" applyFont="1" applyBorder="1" applyAlignment="1">
      <alignment horizontal="right"/>
    </xf>
    <xf numFmtId="4" fontId="4" fillId="0" borderId="57" xfId="0" applyNumberFormat="1" applyFont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4" fontId="17" fillId="0" borderId="37" xfId="0" applyNumberFormat="1" applyFont="1" applyBorder="1" applyAlignment="1">
      <alignment/>
    </xf>
    <xf numFmtId="4" fontId="17" fillId="0" borderId="22" xfId="0" applyNumberFormat="1" applyFont="1" applyBorder="1" applyAlignment="1">
      <alignment/>
    </xf>
    <xf numFmtId="0" fontId="17" fillId="0" borderId="4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vertical="center" wrapText="1"/>
    </xf>
    <xf numFmtId="3" fontId="17" fillId="0" borderId="33" xfId="0" applyNumberFormat="1" applyFont="1" applyFill="1" applyBorder="1" applyAlignment="1">
      <alignment horizontal="right"/>
    </xf>
    <xf numFmtId="4" fontId="17" fillId="0" borderId="21" xfId="0" applyNumberFormat="1" applyFont="1" applyFill="1" applyBorder="1" applyAlignment="1">
      <alignment horizontal="right"/>
    </xf>
    <xf numFmtId="4" fontId="17" fillId="0" borderId="14" xfId="0" applyNumberFormat="1" applyFont="1" applyBorder="1" applyAlignment="1">
      <alignment/>
    </xf>
    <xf numFmtId="4" fontId="17" fillId="0" borderId="21" xfId="0" applyNumberFormat="1" applyFont="1" applyBorder="1" applyAlignment="1">
      <alignment/>
    </xf>
    <xf numFmtId="10" fontId="17" fillId="0" borderId="31" xfId="55" applyNumberFormat="1" applyFont="1" applyFill="1" applyBorder="1" applyAlignment="1">
      <alignment horizontal="right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3" fontId="4" fillId="0" borderId="33" xfId="0" applyNumberFormat="1" applyFont="1" applyFill="1" applyBorder="1" applyAlignment="1">
      <alignment horizontal="right"/>
    </xf>
    <xf numFmtId="4" fontId="4" fillId="0" borderId="14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3" fontId="4" fillId="0" borderId="37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4" fillId="0" borderId="5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3" fontId="4" fillId="0" borderId="58" xfId="0" applyNumberFormat="1" applyFont="1" applyFill="1" applyBorder="1" applyAlignment="1">
      <alignment horizontal="right"/>
    </xf>
    <xf numFmtId="4" fontId="4" fillId="0" borderId="57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/>
    </xf>
    <xf numFmtId="4" fontId="4" fillId="0" borderId="57" xfId="0" applyNumberFormat="1" applyFont="1" applyFill="1" applyBorder="1" applyAlignment="1">
      <alignment/>
    </xf>
    <xf numFmtId="0" fontId="4" fillId="0" borderId="48" xfId="0" applyFont="1" applyBorder="1" applyAlignment="1">
      <alignment horizontal="centerContinuous" vertical="center"/>
    </xf>
    <xf numFmtId="4" fontId="17" fillId="0" borderId="12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/>
    </xf>
    <xf numFmtId="0" fontId="4" fillId="0" borderId="14" xfId="0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vertical="center" wrapText="1"/>
    </xf>
    <xf numFmtId="3" fontId="4" fillId="0" borderId="21" xfId="0" applyNumberFormat="1" applyFont="1" applyFill="1" applyBorder="1" applyAlignment="1">
      <alignment horizontal="right"/>
    </xf>
    <xf numFmtId="10" fontId="4" fillId="0" borderId="27" xfId="55" applyNumberFormat="1" applyFont="1" applyBorder="1" applyAlignment="1">
      <alignment horizontal="right"/>
    </xf>
    <xf numFmtId="4" fontId="4" fillId="0" borderId="15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0" fontId="4" fillId="0" borderId="49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4" fillId="0" borderId="58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/>
    </xf>
    <xf numFmtId="4" fontId="4" fillId="0" borderId="58" xfId="0" applyNumberFormat="1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right"/>
    </xf>
    <xf numFmtId="0" fontId="4" fillId="0" borderId="29" xfId="0" applyFont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3" fontId="4" fillId="0" borderId="57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/>
    </xf>
    <xf numFmtId="4" fontId="4" fillId="0" borderId="57" xfId="0" applyNumberFormat="1" applyFont="1" applyBorder="1" applyAlignment="1">
      <alignment/>
    </xf>
    <xf numFmtId="4" fontId="17" fillId="0" borderId="12" xfId="0" applyNumberFormat="1" applyFont="1" applyBorder="1" applyAlignment="1">
      <alignment/>
    </xf>
    <xf numFmtId="49" fontId="4" fillId="34" borderId="37" xfId="0" applyNumberFormat="1" applyFont="1" applyFill="1" applyBorder="1" applyAlignment="1">
      <alignment horizontal="center" vertical="center" wrapText="1"/>
    </xf>
    <xf numFmtId="4" fontId="17" fillId="0" borderId="22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/>
    </xf>
    <xf numFmtId="0" fontId="4" fillId="0" borderId="57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3" fontId="4" fillId="0" borderId="35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10" fontId="4" fillId="0" borderId="30" xfId="55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3" fontId="4" fillId="0" borderId="0" xfId="0" applyNumberFormat="1" applyFont="1" applyBorder="1" applyAlignment="1">
      <alignment horizontal="left" vertical="center"/>
    </xf>
    <xf numFmtId="167" fontId="0" fillId="0" borderId="0" xfId="42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4" fontId="17" fillId="0" borderId="10" xfId="0" applyNumberFormat="1" applyFont="1" applyBorder="1" applyAlignment="1">
      <alignment horizontal="right" vertical="center"/>
    </xf>
    <xf numFmtId="4" fontId="4" fillId="0" borderId="21" xfId="42" applyNumberFormat="1" applyFont="1" applyBorder="1" applyAlignment="1">
      <alignment horizontal="right" wrapText="1"/>
    </xf>
    <xf numFmtId="3" fontId="4" fillId="0" borderId="57" xfId="42" applyNumberFormat="1" applyFont="1" applyBorder="1" applyAlignment="1">
      <alignment horizontal="right" wrapText="1"/>
    </xf>
    <xf numFmtId="4" fontId="4" fillId="0" borderId="57" xfId="42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right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4" fontId="4" fillId="0" borderId="14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9" fontId="4" fillId="0" borderId="6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68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/>
    </xf>
    <xf numFmtId="49" fontId="4" fillId="0" borderId="33" xfId="0" applyNumberFormat="1" applyFont="1" applyBorder="1" applyAlignment="1">
      <alignment horizontal="center" vertical="center" wrapText="1"/>
    </xf>
    <xf numFmtId="3" fontId="4" fillId="0" borderId="33" xfId="0" applyNumberFormat="1" applyFont="1" applyBorder="1" applyAlignment="1">
      <alignment/>
    </xf>
    <xf numFmtId="0" fontId="4" fillId="0" borderId="33" xfId="0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/>
    </xf>
    <xf numFmtId="49" fontId="4" fillId="34" borderId="61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49" fontId="4" fillId="0" borderId="58" xfId="0" applyNumberFormat="1" applyFont="1" applyBorder="1" applyAlignment="1">
      <alignment horizontal="center" vertical="center" wrapText="1"/>
    </xf>
    <xf numFmtId="3" fontId="4" fillId="0" borderId="58" xfId="0" applyNumberFormat="1" applyFont="1" applyBorder="1" applyAlignment="1">
      <alignment horizontal="right"/>
    </xf>
    <xf numFmtId="4" fontId="4" fillId="0" borderId="58" xfId="0" applyNumberFormat="1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4" fontId="23" fillId="0" borderId="10" xfId="0" applyNumberFormat="1" applyFont="1" applyFill="1" applyBorder="1" applyAlignment="1">
      <alignment horizontal="right"/>
    </xf>
    <xf numFmtId="4" fontId="17" fillId="0" borderId="12" xfId="0" applyNumberFormat="1" applyFont="1" applyFill="1" applyBorder="1" applyAlignment="1">
      <alignment horizontal="centerContinuous"/>
    </xf>
    <xf numFmtId="4" fontId="17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0" fontId="4" fillId="0" borderId="61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/>
    </xf>
    <xf numFmtId="0" fontId="4" fillId="0" borderId="35" xfId="0" applyFont="1" applyFill="1" applyBorder="1" applyAlignment="1">
      <alignment vertical="center" wrapText="1"/>
    </xf>
    <xf numFmtId="4" fontId="4" fillId="0" borderId="35" xfId="0" applyNumberFormat="1" applyFont="1" applyFill="1" applyBorder="1" applyAlignment="1">
      <alignment/>
    </xf>
    <xf numFmtId="4" fontId="4" fillId="0" borderId="0" xfId="0" applyNumberFormat="1" applyFont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4" fontId="4" fillId="0" borderId="61" xfId="0" applyNumberFormat="1" applyFont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right"/>
    </xf>
    <xf numFmtId="4" fontId="4" fillId="0" borderId="34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" fontId="17" fillId="0" borderId="62" xfId="0" applyNumberFormat="1" applyFont="1" applyBorder="1" applyAlignment="1">
      <alignment horizontal="right"/>
    </xf>
    <xf numFmtId="4" fontId="17" fillId="0" borderId="62" xfId="0" applyNumberFormat="1" applyFont="1" applyBorder="1" applyAlignment="1">
      <alignment/>
    </xf>
    <xf numFmtId="4" fontId="4" fillId="0" borderId="61" xfId="0" applyNumberFormat="1" applyFont="1" applyBorder="1" applyAlignment="1">
      <alignment horizontal="right"/>
    </xf>
    <xf numFmtId="4" fontId="17" fillId="0" borderId="37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0" fontId="5" fillId="0" borderId="4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3" fontId="4" fillId="0" borderId="41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0" fontId="5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horizontal="centerContinuous" wrapText="1"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Continuous" vertical="center"/>
    </xf>
    <xf numFmtId="4" fontId="11" fillId="0" borderId="16" xfId="0" applyNumberFormat="1" applyFont="1" applyBorder="1" applyAlignment="1">
      <alignment horizontal="right" vertical="center"/>
    </xf>
    <xf numFmtId="4" fontId="22" fillId="0" borderId="16" xfId="0" applyNumberFormat="1" applyFont="1" applyBorder="1" applyAlignment="1">
      <alignment horizontal="right" vertical="center"/>
    </xf>
    <xf numFmtId="4" fontId="16" fillId="0" borderId="16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2" xfId="0" applyFont="1" applyBorder="1" applyAlignment="1">
      <alignment horizontal="centerContinuous" vertical="center"/>
    </xf>
    <xf numFmtId="4" fontId="1" fillId="0" borderId="0" xfId="0" applyNumberFormat="1" applyFont="1" applyBorder="1" applyAlignment="1">
      <alignment horizontal="centerContinuous"/>
    </xf>
    <xf numFmtId="4" fontId="4" fillId="0" borderId="41" xfId="0" applyNumberFormat="1" applyFont="1" applyBorder="1" applyAlignment="1">
      <alignment horizontal="centerContinuous"/>
    </xf>
    <xf numFmtId="49" fontId="4" fillId="0" borderId="48" xfId="0" applyNumberFormat="1" applyFont="1" applyBorder="1" applyAlignment="1">
      <alignment horizontal="center" vertical="center"/>
    </xf>
    <xf numFmtId="4" fontId="17" fillId="0" borderId="41" xfId="0" applyNumberFormat="1" applyFont="1" applyBorder="1" applyAlignment="1">
      <alignment horizontal="centerContinuous"/>
    </xf>
    <xf numFmtId="4" fontId="17" fillId="0" borderId="12" xfId="0" applyNumberFormat="1" applyFont="1" applyBorder="1" applyAlignment="1">
      <alignment horizontal="centerContinuous"/>
    </xf>
    <xf numFmtId="3" fontId="4" fillId="0" borderId="57" xfId="0" applyNumberFormat="1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3" fontId="5" fillId="0" borderId="45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16" fillId="0" borderId="41" xfId="0" applyNumberFormat="1" applyFont="1" applyBorder="1" applyAlignment="1">
      <alignment/>
    </xf>
    <xf numFmtId="4" fontId="16" fillId="0" borderId="26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46" xfId="0" applyNumberFormat="1" applyFont="1" applyBorder="1" applyAlignment="1">
      <alignment/>
    </xf>
    <xf numFmtId="3" fontId="7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/>
    </xf>
    <xf numFmtId="4" fontId="5" fillId="0" borderId="41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0" fontId="4" fillId="0" borderId="63" xfId="55" applyNumberFormat="1" applyFont="1" applyFill="1" applyBorder="1" applyAlignment="1">
      <alignment horizontal="right" wrapText="1"/>
    </xf>
    <xf numFmtId="0" fontId="5" fillId="0" borderId="47" xfId="0" applyFont="1" applyBorder="1" applyAlignment="1">
      <alignment vertical="center"/>
    </xf>
    <xf numFmtId="0" fontId="5" fillId="0" borderId="45" xfId="0" applyFont="1" applyBorder="1" applyAlignment="1">
      <alignment/>
    </xf>
    <xf numFmtId="4" fontId="21" fillId="0" borderId="26" xfId="0" applyNumberFormat="1" applyFont="1" applyBorder="1" applyAlignment="1">
      <alignment/>
    </xf>
    <xf numFmtId="0" fontId="7" fillId="0" borderId="55" xfId="0" applyFont="1" applyBorder="1" applyAlignment="1">
      <alignment vertical="center"/>
    </xf>
    <xf numFmtId="0" fontId="9" fillId="0" borderId="44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10" fontId="4" fillId="0" borderId="0" xfId="55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3" fontId="8" fillId="33" borderId="46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centerContinuous" vertical="center"/>
    </xf>
    <xf numFmtId="4" fontId="4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0" fontId="1" fillId="0" borderId="0" xfId="55" applyNumberFormat="1" applyFont="1" applyFill="1" applyBorder="1" applyAlignment="1">
      <alignment horizontal="right" vertical="center" wrapText="1"/>
    </xf>
    <xf numFmtId="4" fontId="16" fillId="0" borderId="0" xfId="0" applyNumberFormat="1" applyFont="1" applyAlignment="1">
      <alignment vertical="center"/>
    </xf>
    <xf numFmtId="0" fontId="8" fillId="33" borderId="64" xfId="0" applyFont="1" applyFill="1" applyBorder="1" applyAlignment="1">
      <alignment horizontal="center"/>
    </xf>
    <xf numFmtId="3" fontId="8" fillId="33" borderId="17" xfId="0" applyNumberFormat="1" applyFont="1" applyFill="1" applyBorder="1" applyAlignment="1">
      <alignment horizontal="center"/>
    </xf>
    <xf numFmtId="3" fontId="8" fillId="33" borderId="46" xfId="0" applyNumberFormat="1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16" fillId="0" borderId="41" xfId="0" applyFont="1" applyBorder="1" applyAlignment="1">
      <alignment/>
    </xf>
    <xf numFmtId="0" fontId="16" fillId="0" borderId="63" xfId="0" applyFont="1" applyBorder="1" applyAlignment="1">
      <alignment/>
    </xf>
    <xf numFmtId="0" fontId="4" fillId="0" borderId="13" xfId="0" applyFont="1" applyBorder="1" applyAlignment="1">
      <alignment/>
    </xf>
    <xf numFmtId="0" fontId="0" fillId="34" borderId="21" xfId="52" applyFont="1" applyFill="1" applyBorder="1">
      <alignment/>
      <protection/>
    </xf>
    <xf numFmtId="4" fontId="4" fillId="0" borderId="14" xfId="55" applyNumberFormat="1" applyFont="1" applyFill="1" applyBorder="1" applyAlignment="1">
      <alignment horizontal="right" wrapText="1"/>
    </xf>
    <xf numFmtId="10" fontId="4" fillId="0" borderId="65" xfId="0" applyNumberFormat="1" applyFont="1" applyBorder="1" applyAlignment="1">
      <alignment horizontal="right"/>
    </xf>
    <xf numFmtId="0" fontId="4" fillId="0" borderId="36" xfId="0" applyFont="1" applyBorder="1" applyAlignment="1">
      <alignment/>
    </xf>
    <xf numFmtId="10" fontId="4" fillId="0" borderId="63" xfId="0" applyNumberFormat="1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4" fillId="0" borderId="5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9" fontId="4" fillId="34" borderId="29" xfId="52" applyNumberFormat="1" applyFont="1" applyFill="1" applyBorder="1" applyAlignment="1">
      <alignment horizontal="center"/>
      <protection/>
    </xf>
    <xf numFmtId="0" fontId="0" fillId="34" borderId="57" xfId="52" applyFont="1" applyFill="1" applyBorder="1">
      <alignment/>
      <protection/>
    </xf>
    <xf numFmtId="3" fontId="4" fillId="0" borderId="29" xfId="0" applyNumberFormat="1" applyFont="1" applyBorder="1" applyAlignment="1">
      <alignment/>
    </xf>
    <xf numFmtId="4" fontId="4" fillId="0" borderId="29" xfId="55" applyNumberFormat="1" applyFont="1" applyFill="1" applyBorder="1" applyAlignment="1">
      <alignment horizontal="right" wrapText="1"/>
    </xf>
    <xf numFmtId="4" fontId="17" fillId="0" borderId="29" xfId="0" applyNumberFormat="1" applyFont="1" applyBorder="1" applyAlignment="1">
      <alignment/>
    </xf>
    <xf numFmtId="10" fontId="4" fillId="0" borderId="66" xfId="0" applyNumberFormat="1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34" borderId="20" xfId="52" applyFont="1" applyFill="1" applyBorder="1">
      <alignment/>
      <protection/>
    </xf>
    <xf numFmtId="49" fontId="4" fillId="34" borderId="15" xfId="52" applyNumberFormat="1" applyFont="1" applyFill="1" applyBorder="1" applyAlignment="1">
      <alignment horizontal="center"/>
      <protection/>
    </xf>
    <xf numFmtId="0" fontId="0" fillId="0" borderId="33" xfId="52" applyFont="1" applyFill="1" applyBorder="1">
      <alignment/>
      <protection/>
    </xf>
    <xf numFmtId="3" fontId="4" fillId="0" borderId="15" xfId="0" applyNumberFormat="1" applyFont="1" applyBorder="1" applyAlignment="1">
      <alignment/>
    </xf>
    <xf numFmtId="4" fontId="4" fillId="0" borderId="15" xfId="55" applyNumberFormat="1" applyFont="1" applyFill="1" applyBorder="1" applyAlignment="1">
      <alignment horizontal="right" wrapText="1"/>
    </xf>
    <xf numFmtId="10" fontId="4" fillId="0" borderId="67" xfId="0" applyNumberFormat="1" applyFont="1" applyBorder="1" applyAlignment="1">
      <alignment horizontal="right"/>
    </xf>
    <xf numFmtId="49" fontId="4" fillId="34" borderId="14" xfId="52" applyNumberFormat="1" applyFont="1" applyFill="1" applyBorder="1" applyAlignment="1">
      <alignment horizontal="center"/>
      <protection/>
    </xf>
    <xf numFmtId="0" fontId="0" fillId="0" borderId="21" xfId="52" applyFont="1" applyFill="1" applyBorder="1">
      <alignment/>
      <protection/>
    </xf>
    <xf numFmtId="0" fontId="0" fillId="0" borderId="0" xfId="52" applyFont="1" applyBorder="1">
      <alignment/>
      <protection/>
    </xf>
    <xf numFmtId="10" fontId="4" fillId="0" borderId="68" xfId="0" applyNumberFormat="1" applyFont="1" applyBorder="1" applyAlignment="1">
      <alignment horizontal="right"/>
    </xf>
    <xf numFmtId="49" fontId="4" fillId="34" borderId="12" xfId="52" applyNumberFormat="1" applyFont="1" applyFill="1" applyBorder="1" applyAlignment="1">
      <alignment horizontal="center"/>
      <protection/>
    </xf>
    <xf numFmtId="0" fontId="0" fillId="34" borderId="10" xfId="52" applyFont="1" applyFill="1" applyBorder="1">
      <alignment/>
      <protection/>
    </xf>
    <xf numFmtId="4" fontId="4" fillId="0" borderId="11" xfId="55" applyNumberFormat="1" applyFont="1" applyFill="1" applyBorder="1" applyAlignment="1">
      <alignment horizontal="right" wrapText="1"/>
    </xf>
    <xf numFmtId="4" fontId="17" fillId="0" borderId="11" xfId="0" applyNumberFormat="1" applyFont="1" applyBorder="1" applyAlignment="1">
      <alignment/>
    </xf>
    <xf numFmtId="10" fontId="4" fillId="0" borderId="69" xfId="0" applyNumberFormat="1" applyFont="1" applyBorder="1" applyAlignment="1">
      <alignment horizontal="right"/>
    </xf>
    <xf numFmtId="0" fontId="5" fillId="0" borderId="7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44" xfId="0" applyFont="1" applyBorder="1" applyAlignment="1">
      <alignment/>
    </xf>
    <xf numFmtId="3" fontId="7" fillId="0" borderId="11" xfId="0" applyNumberFormat="1" applyFont="1" applyBorder="1" applyAlignment="1">
      <alignment/>
    </xf>
    <xf numFmtId="10" fontId="7" fillId="0" borderId="69" xfId="0" applyNumberFormat="1" applyFont="1" applyBorder="1" applyAlignment="1">
      <alignment horizontal="right"/>
    </xf>
    <xf numFmtId="0" fontId="4" fillId="0" borderId="55" xfId="0" applyFont="1" applyBorder="1" applyAlignment="1">
      <alignment horizontal="center" vertical="center"/>
    </xf>
    <xf numFmtId="3" fontId="4" fillId="0" borderId="71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17" xfId="0" applyNumberFormat="1" applyFont="1" applyBorder="1" applyAlignment="1">
      <alignment/>
    </xf>
    <xf numFmtId="4" fontId="4" fillId="0" borderId="71" xfId="0" applyNumberFormat="1" applyFont="1" applyBorder="1" applyAlignment="1">
      <alignment/>
    </xf>
    <xf numFmtId="0" fontId="8" fillId="33" borderId="72" xfId="0" applyFont="1" applyFill="1" applyBorder="1" applyAlignment="1">
      <alignment horizontal="center" vertical="center"/>
    </xf>
    <xf numFmtId="0" fontId="8" fillId="33" borderId="73" xfId="0" applyFont="1" applyFill="1" applyBorder="1" applyAlignment="1">
      <alignment horizontal="center" vertical="center"/>
    </xf>
    <xf numFmtId="3" fontId="8" fillId="33" borderId="39" xfId="0" applyNumberFormat="1" applyFont="1" applyFill="1" applyBorder="1" applyAlignment="1">
      <alignment horizontal="center" vertical="center"/>
    </xf>
    <xf numFmtId="3" fontId="8" fillId="33" borderId="73" xfId="0" applyNumberFormat="1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/>
    </xf>
    <xf numFmtId="4" fontId="4" fillId="0" borderId="71" xfId="0" applyNumberFormat="1" applyFont="1" applyFill="1" applyBorder="1" applyAlignment="1">
      <alignment horizontal="right"/>
    </xf>
    <xf numFmtId="4" fontId="4" fillId="0" borderId="11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0" fontId="8" fillId="33" borderId="74" xfId="0" applyFont="1" applyFill="1" applyBorder="1" applyAlignment="1">
      <alignment horizontal="center" vertical="center"/>
    </xf>
    <xf numFmtId="0" fontId="8" fillId="33" borderId="75" xfId="0" applyFont="1" applyFill="1" applyBorder="1" applyAlignment="1">
      <alignment horizontal="center" vertical="center"/>
    </xf>
    <xf numFmtId="3" fontId="8" fillId="33" borderId="75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4" fillId="0" borderId="71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3" fontId="4" fillId="0" borderId="71" xfId="42" applyNumberFormat="1" applyFont="1" applyBorder="1" applyAlignment="1">
      <alignment horizontal="right" wrapText="1"/>
    </xf>
    <xf numFmtId="4" fontId="4" fillId="0" borderId="17" xfId="42" applyNumberFormat="1" applyFont="1" applyBorder="1" applyAlignment="1">
      <alignment horizontal="right" wrapText="1"/>
    </xf>
    <xf numFmtId="0" fontId="4" fillId="0" borderId="6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" fontId="4" fillId="0" borderId="71" xfId="0" applyNumberFormat="1" applyFont="1" applyBorder="1" applyAlignment="1">
      <alignment horizontal="right"/>
    </xf>
    <xf numFmtId="0" fontId="4" fillId="0" borderId="71" xfId="0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/>
    </xf>
    <xf numFmtId="0" fontId="4" fillId="0" borderId="7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/>
    </xf>
    <xf numFmtId="4" fontId="4" fillId="0" borderId="76" xfId="0" applyNumberFormat="1" applyFont="1" applyBorder="1" applyAlignment="1">
      <alignment/>
    </xf>
    <xf numFmtId="0" fontId="4" fillId="0" borderId="11" xfId="0" applyFont="1" applyBorder="1" applyAlignment="1">
      <alignment vertical="center"/>
    </xf>
    <xf numFmtId="3" fontId="4" fillId="0" borderId="46" xfId="0" applyNumberFormat="1" applyFont="1" applyBorder="1" applyAlignment="1">
      <alignment/>
    </xf>
    <xf numFmtId="0" fontId="8" fillId="33" borderId="71" xfId="0" applyFont="1" applyFill="1" applyBorder="1" applyAlignment="1">
      <alignment horizontal="center" vertical="center"/>
    </xf>
    <xf numFmtId="3" fontId="8" fillId="33" borderId="71" xfId="0" applyNumberFormat="1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>
      <alignment horizontal="center" vertical="center"/>
    </xf>
    <xf numFmtId="1" fontId="8" fillId="33" borderId="71" xfId="0" applyNumberFormat="1" applyFont="1" applyFill="1" applyBorder="1" applyAlignment="1">
      <alignment horizontal="center" vertical="center"/>
    </xf>
    <xf numFmtId="1" fontId="8" fillId="33" borderId="18" xfId="0" applyNumberFormat="1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Continuous"/>
    </xf>
    <xf numFmtId="0" fontId="0" fillId="33" borderId="18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5" fillId="0" borderId="25" xfId="0" applyFont="1" applyBorder="1" applyAlignment="1">
      <alignment/>
    </xf>
    <xf numFmtId="10" fontId="7" fillId="0" borderId="25" xfId="55" applyNumberFormat="1" applyFont="1" applyBorder="1" applyAlignment="1">
      <alignment/>
    </xf>
    <xf numFmtId="0" fontId="5" fillId="0" borderId="49" xfId="0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21" fillId="0" borderId="21" xfId="0" applyNumberFormat="1" applyFont="1" applyFill="1" applyBorder="1" applyAlignment="1">
      <alignment/>
    </xf>
    <xf numFmtId="10" fontId="5" fillId="0" borderId="27" xfId="55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19" fillId="0" borderId="48" xfId="0" applyFont="1" applyBorder="1" applyAlignment="1">
      <alignment/>
    </xf>
    <xf numFmtId="0" fontId="19" fillId="0" borderId="48" xfId="0" applyFont="1" applyFill="1" applyBorder="1" applyAlignment="1">
      <alignment/>
    </xf>
    <xf numFmtId="0" fontId="1" fillId="33" borderId="55" xfId="0" applyFont="1" applyFill="1" applyBorder="1" applyAlignment="1">
      <alignment/>
    </xf>
    <xf numFmtId="4" fontId="1" fillId="33" borderId="46" xfId="0" applyNumberFormat="1" applyFont="1" applyFill="1" applyBorder="1" applyAlignment="1">
      <alignment/>
    </xf>
    <xf numFmtId="10" fontId="1" fillId="33" borderId="31" xfId="55" applyNumberFormat="1" applyFont="1" applyFill="1" applyBorder="1" applyAlignment="1">
      <alignment/>
    </xf>
    <xf numFmtId="10" fontId="4" fillId="0" borderId="25" xfId="55" applyNumberFormat="1" applyFont="1" applyBorder="1" applyAlignment="1">
      <alignment/>
    </xf>
    <xf numFmtId="10" fontId="4" fillId="0" borderId="27" xfId="55" applyNumberFormat="1" applyFont="1" applyBorder="1" applyAlignment="1">
      <alignment/>
    </xf>
    <xf numFmtId="10" fontId="4" fillId="0" borderId="25" xfId="55" applyNumberFormat="1" applyFont="1" applyFill="1" applyBorder="1" applyAlignment="1">
      <alignment/>
    </xf>
    <xf numFmtId="10" fontId="1" fillId="33" borderId="42" xfId="55" applyNumberFormat="1" applyFont="1" applyFill="1" applyBorder="1" applyAlignment="1">
      <alignment/>
    </xf>
    <xf numFmtId="43" fontId="5" fillId="0" borderId="0" xfId="42" applyFont="1" applyAlignment="1">
      <alignment vertical="center"/>
    </xf>
    <xf numFmtId="43" fontId="0" fillId="0" borderId="0" xfId="42" applyFont="1" applyAlignment="1">
      <alignment vertical="center"/>
    </xf>
    <xf numFmtId="43" fontId="0" fillId="0" borderId="0" xfId="42" applyFont="1" applyAlignment="1">
      <alignment wrapText="1"/>
    </xf>
    <xf numFmtId="0" fontId="0" fillId="0" borderId="0" xfId="0" applyFont="1" applyAlignment="1">
      <alignment wrapText="1"/>
    </xf>
    <xf numFmtId="0" fontId="4" fillId="0" borderId="2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33" borderId="47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1" fillId="33" borderId="70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4" fontId="1" fillId="33" borderId="41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39" xfId="0" applyNumberFormat="1" applyFont="1" applyFill="1" applyBorder="1" applyAlignment="1">
      <alignment horizontal="center" vertical="center"/>
    </xf>
    <xf numFmtId="4" fontId="1" fillId="33" borderId="75" xfId="0" applyNumberFormat="1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4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7" fillId="33" borderId="19" xfId="0" applyFont="1" applyFill="1" applyBorder="1" applyAlignment="1">
      <alignment horizontal="center" wrapText="1"/>
    </xf>
    <xf numFmtId="0" fontId="7" fillId="33" borderId="27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Informacja o wykonaniu budżetu za 9 m-c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R476"/>
  <sheetViews>
    <sheetView showGridLines="0" tabSelected="1" view="pageBreakPreview" zoomScaleSheetLayoutView="100" zoomScalePageLayoutView="0" workbookViewId="0" topLeftCell="A1">
      <selection activeCell="A266" sqref="A266:IV267"/>
    </sheetView>
  </sheetViews>
  <sheetFormatPr defaultColWidth="9.00390625" defaultRowHeight="12"/>
  <cols>
    <col min="1" max="1" width="8.00390625" style="9" customWidth="1"/>
    <col min="2" max="2" width="11.25390625" style="11" customWidth="1"/>
    <col min="3" max="3" width="10.125" style="12" customWidth="1"/>
    <col min="4" max="4" width="70.25390625" style="10" customWidth="1"/>
    <col min="5" max="7" width="17.25390625" style="10" customWidth="1"/>
    <col min="8" max="8" width="16.125" style="10" customWidth="1"/>
    <col min="9" max="9" width="15.375" style="10" bestFit="1" customWidth="1"/>
    <col min="10" max="12" width="9.125" style="10" customWidth="1"/>
    <col min="13" max="13" width="12.625" style="10" bestFit="1" customWidth="1"/>
    <col min="14" max="16384" width="9.125" style="10" customWidth="1"/>
  </cols>
  <sheetData>
    <row r="1" spans="1:9" s="6" customFormat="1" ht="25.5">
      <c r="A1" s="632" t="s">
        <v>17</v>
      </c>
      <c r="B1" s="632"/>
      <c r="C1" s="632"/>
      <c r="D1" s="632"/>
      <c r="E1" s="632"/>
      <c r="F1" s="632"/>
      <c r="G1" s="632"/>
      <c r="H1" s="632"/>
      <c r="I1" s="632"/>
    </row>
    <row r="2" spans="1:9" s="6" customFormat="1" ht="25.5">
      <c r="A2" s="632" t="s">
        <v>18</v>
      </c>
      <c r="B2" s="632"/>
      <c r="C2" s="632"/>
      <c r="D2" s="632"/>
      <c r="E2" s="632"/>
      <c r="F2" s="632"/>
      <c r="G2" s="632"/>
      <c r="H2" s="632"/>
      <c r="I2" s="632"/>
    </row>
    <row r="3" spans="1:9" s="6" customFormat="1" ht="25.5">
      <c r="A3" s="632" t="s">
        <v>286</v>
      </c>
      <c r="B3" s="632"/>
      <c r="C3" s="632"/>
      <c r="D3" s="632"/>
      <c r="E3" s="632"/>
      <c r="F3" s="632"/>
      <c r="G3" s="632"/>
      <c r="H3" s="632"/>
      <c r="I3" s="632"/>
    </row>
    <row r="4" spans="1:6" s="6" customFormat="1" ht="25.5">
      <c r="A4" s="5"/>
      <c r="B4" s="5"/>
      <c r="C4" s="5"/>
      <c r="D4" s="5"/>
      <c r="E4" s="5"/>
      <c r="F4" s="5"/>
    </row>
    <row r="5" spans="1:9" s="6" customFormat="1" ht="22.5">
      <c r="A5" s="633" t="s">
        <v>97</v>
      </c>
      <c r="B5" s="633"/>
      <c r="C5" s="633"/>
      <c r="D5" s="633"/>
      <c r="E5" s="633"/>
      <c r="F5" s="633"/>
      <c r="G5" s="633"/>
      <c r="H5" s="633"/>
      <c r="I5" s="633"/>
    </row>
    <row r="6" spans="2:6" s="6" customFormat="1" ht="18">
      <c r="B6" s="7"/>
      <c r="C6" s="7"/>
      <c r="D6" s="7"/>
      <c r="E6" s="7"/>
      <c r="F6" s="8"/>
    </row>
    <row r="7" spans="1:9" s="24" customFormat="1" ht="18" customHeight="1">
      <c r="A7" s="634" t="s">
        <v>96</v>
      </c>
      <c r="B7" s="634"/>
      <c r="C7" s="634"/>
      <c r="D7" s="634"/>
      <c r="E7" s="634"/>
      <c r="F7" s="634"/>
      <c r="G7" s="634"/>
      <c r="H7" s="634"/>
      <c r="I7" s="634"/>
    </row>
    <row r="8" spans="1:9" s="24" customFormat="1" ht="18">
      <c r="A8" s="635" t="s">
        <v>224</v>
      </c>
      <c r="B8" s="635"/>
      <c r="C8" s="635"/>
      <c r="D8" s="635"/>
      <c r="E8" s="635"/>
      <c r="F8" s="635"/>
      <c r="G8" s="635"/>
      <c r="H8" s="635"/>
      <c r="I8" s="635"/>
    </row>
    <row r="9" spans="1:9" s="26" customFormat="1" ht="15.75">
      <c r="A9" s="636" t="s">
        <v>27</v>
      </c>
      <c r="B9" s="636"/>
      <c r="C9" s="636"/>
      <c r="D9" s="636"/>
      <c r="E9" s="636"/>
      <c r="F9" s="636"/>
      <c r="G9" s="636"/>
      <c r="H9" s="636"/>
      <c r="I9" s="636"/>
    </row>
    <row r="10" spans="4:9" s="24" customFormat="1" ht="12.75" thickBot="1">
      <c r="D10" s="27"/>
      <c r="E10" s="28"/>
      <c r="F10" s="28"/>
      <c r="G10" s="28"/>
      <c r="H10" s="28"/>
      <c r="I10" s="28" t="s">
        <v>100</v>
      </c>
    </row>
    <row r="11" spans="2:11" s="165" customFormat="1" ht="14.25" customHeight="1">
      <c r="B11" s="612" t="s">
        <v>264</v>
      </c>
      <c r="C11" s="614" t="s">
        <v>265</v>
      </c>
      <c r="D11" s="615"/>
      <c r="E11" s="618" t="s">
        <v>190</v>
      </c>
      <c r="F11" s="620" t="s">
        <v>193</v>
      </c>
      <c r="G11" s="622" t="s">
        <v>284</v>
      </c>
      <c r="H11" s="623"/>
      <c r="I11" s="607" t="s">
        <v>28</v>
      </c>
      <c r="J11" s="166"/>
      <c r="K11" s="166"/>
    </row>
    <row r="12" spans="1:11" s="165" customFormat="1" ht="25.5">
      <c r="A12" s="167"/>
      <c r="B12" s="613"/>
      <c r="C12" s="616"/>
      <c r="D12" s="617"/>
      <c r="E12" s="619"/>
      <c r="F12" s="621"/>
      <c r="G12" s="168" t="s">
        <v>194</v>
      </c>
      <c r="H12" s="169" t="s">
        <v>195</v>
      </c>
      <c r="I12" s="608"/>
      <c r="J12" s="166"/>
      <c r="K12" s="166"/>
    </row>
    <row r="13" spans="1:11" s="172" customFormat="1" ht="12" thickBot="1">
      <c r="A13" s="170"/>
      <c r="B13" s="471">
        <v>1</v>
      </c>
      <c r="C13" s="624">
        <v>2</v>
      </c>
      <c r="D13" s="625"/>
      <c r="E13" s="568">
        <v>3</v>
      </c>
      <c r="F13" s="569">
        <v>4</v>
      </c>
      <c r="G13" s="570">
        <v>5</v>
      </c>
      <c r="H13" s="571">
        <v>6</v>
      </c>
      <c r="I13" s="572">
        <v>7</v>
      </c>
      <c r="J13" s="171"/>
      <c r="K13" s="171"/>
    </row>
    <row r="14" spans="1:11" s="178" customFormat="1" ht="31.5" customHeight="1">
      <c r="A14" s="173"/>
      <c r="B14" s="174" t="s">
        <v>285</v>
      </c>
      <c r="C14" s="601" t="s">
        <v>3</v>
      </c>
      <c r="D14" s="602"/>
      <c r="E14" s="175">
        <f>E343</f>
        <v>10565.07</v>
      </c>
      <c r="F14" s="175">
        <f>F343</f>
        <v>10565.07</v>
      </c>
      <c r="G14" s="175">
        <f>G343</f>
        <v>10565.07</v>
      </c>
      <c r="H14" s="175">
        <f>H343</f>
        <v>0</v>
      </c>
      <c r="I14" s="176">
        <f>SUM(F14/E14)</f>
        <v>1</v>
      </c>
      <c r="J14" s="177"/>
      <c r="K14" s="177"/>
    </row>
    <row r="15" spans="1:11" s="178" customFormat="1" ht="31.5" customHeight="1">
      <c r="A15" s="173"/>
      <c r="B15" s="179">
        <v>400</v>
      </c>
      <c r="C15" s="601" t="s">
        <v>34</v>
      </c>
      <c r="D15" s="602"/>
      <c r="E15" s="72">
        <f>SUM(E60)</f>
        <v>80000</v>
      </c>
      <c r="F15" s="175">
        <f>SUM(F60)</f>
        <v>65565.57</v>
      </c>
      <c r="G15" s="175">
        <f>SUM(G60)</f>
        <v>0</v>
      </c>
      <c r="H15" s="175">
        <f>SUM(H60)</f>
        <v>65565.57</v>
      </c>
      <c r="I15" s="82">
        <f>SUM(F15/E15)</f>
        <v>0.8196</v>
      </c>
      <c r="J15" s="177"/>
      <c r="K15" s="177"/>
    </row>
    <row r="16" spans="1:11" s="178" customFormat="1" ht="14.25" customHeight="1">
      <c r="A16" s="173"/>
      <c r="B16" s="180"/>
      <c r="C16" s="39"/>
      <c r="D16" s="181"/>
      <c r="E16" s="182"/>
      <c r="F16" s="183"/>
      <c r="G16" s="184"/>
      <c r="H16" s="183"/>
      <c r="I16" s="99"/>
      <c r="J16" s="177"/>
      <c r="K16" s="177"/>
    </row>
    <row r="17" spans="1:11" s="178" customFormat="1" ht="14.25" customHeight="1">
      <c r="A17" s="173"/>
      <c r="B17" s="179">
        <v>600</v>
      </c>
      <c r="C17" s="37" t="s">
        <v>266</v>
      </c>
      <c r="D17" s="185"/>
      <c r="E17" s="72">
        <f>SUM(E64+E409)</f>
        <v>550468</v>
      </c>
      <c r="F17" s="175">
        <f>SUM(F64+F409)</f>
        <v>552281.82</v>
      </c>
      <c r="G17" s="175">
        <f>SUM(G64+G409)</f>
        <v>302281.82</v>
      </c>
      <c r="H17" s="175">
        <f>SUM(H64+H409)</f>
        <v>250000</v>
      </c>
      <c r="I17" s="82">
        <f>SUM(F17/E17)</f>
        <v>1.0033</v>
      </c>
      <c r="J17" s="177"/>
      <c r="K17" s="177"/>
    </row>
    <row r="18" spans="1:11" s="178" customFormat="1" ht="14.25" customHeight="1">
      <c r="A18" s="173"/>
      <c r="B18" s="180"/>
      <c r="C18" s="39"/>
      <c r="D18" s="181"/>
      <c r="E18" s="182"/>
      <c r="F18" s="183"/>
      <c r="G18" s="184"/>
      <c r="H18" s="183"/>
      <c r="I18" s="99"/>
      <c r="J18" s="177"/>
      <c r="K18" s="177"/>
    </row>
    <row r="19" spans="1:11" s="178" customFormat="1" ht="14.25" customHeight="1">
      <c r="A19" s="173"/>
      <c r="B19" s="179">
        <v>630</v>
      </c>
      <c r="C19" s="37" t="s">
        <v>267</v>
      </c>
      <c r="D19" s="185"/>
      <c r="E19" s="72">
        <f>SUM(E70)</f>
        <v>0</v>
      </c>
      <c r="F19" s="175">
        <f>SUM(F70)</f>
        <v>0.01</v>
      </c>
      <c r="G19" s="175">
        <f>SUM(G70)</f>
        <v>0.01</v>
      </c>
      <c r="H19" s="175">
        <f>SUM(H70)</f>
        <v>0</v>
      </c>
      <c r="I19" s="82"/>
      <c r="J19" s="177"/>
      <c r="K19" s="177"/>
    </row>
    <row r="20" spans="1:11" s="178" customFormat="1" ht="14.25" customHeight="1">
      <c r="A20" s="173"/>
      <c r="B20" s="180"/>
      <c r="C20" s="39"/>
      <c r="D20" s="181"/>
      <c r="E20" s="182"/>
      <c r="F20" s="183"/>
      <c r="G20" s="184"/>
      <c r="H20" s="183"/>
      <c r="I20" s="99"/>
      <c r="J20" s="177"/>
      <c r="K20" s="177"/>
    </row>
    <row r="21" spans="1:11" s="178" customFormat="1" ht="14.25" customHeight="1">
      <c r="A21" s="173"/>
      <c r="B21" s="180">
        <v>700</v>
      </c>
      <c r="C21" s="39" t="s">
        <v>268</v>
      </c>
      <c r="D21" s="181"/>
      <c r="E21" s="72">
        <f>SUM(E75)</f>
        <v>9426374</v>
      </c>
      <c r="F21" s="175">
        <f>SUM(F75)</f>
        <v>5967325.22</v>
      </c>
      <c r="G21" s="175">
        <f>SUM(G75)</f>
        <v>261090.17</v>
      </c>
      <c r="H21" s="175">
        <f>SUM(H75)</f>
        <v>5706235.05</v>
      </c>
      <c r="I21" s="82">
        <f>SUM(F21/E21)</f>
        <v>0.633</v>
      </c>
      <c r="J21" s="177"/>
      <c r="K21" s="177"/>
    </row>
    <row r="22" spans="1:11" s="178" customFormat="1" ht="14.25" customHeight="1">
      <c r="A22" s="173"/>
      <c r="B22" s="186"/>
      <c r="C22" s="42"/>
      <c r="D22" s="187"/>
      <c r="E22" s="188"/>
      <c r="F22" s="189"/>
      <c r="G22" s="190"/>
      <c r="H22" s="189"/>
      <c r="I22" s="99"/>
      <c r="J22" s="177"/>
      <c r="K22" s="177"/>
    </row>
    <row r="23" spans="1:11" s="178" customFormat="1" ht="14.25" customHeight="1">
      <c r="A23" s="173"/>
      <c r="B23" s="179">
        <v>710</v>
      </c>
      <c r="C23" s="37" t="s">
        <v>4</v>
      </c>
      <c r="D23" s="185"/>
      <c r="E23" s="175">
        <f>E93</f>
        <v>4817</v>
      </c>
      <c r="F23" s="175">
        <f>F93</f>
        <v>25045.9</v>
      </c>
      <c r="G23" s="175">
        <f>G93</f>
        <v>25045.9</v>
      </c>
      <c r="H23" s="175">
        <f>SUM(H100)</f>
        <v>0</v>
      </c>
      <c r="I23" s="82">
        <f>SUM(F23/E23)</f>
        <v>5.1995</v>
      </c>
      <c r="J23" s="177"/>
      <c r="K23" s="177"/>
    </row>
    <row r="24" spans="1:11" s="178" customFormat="1" ht="14.25" customHeight="1">
      <c r="A24" s="173"/>
      <c r="B24" s="186"/>
      <c r="C24" s="42"/>
      <c r="D24" s="187"/>
      <c r="E24" s="188"/>
      <c r="F24" s="189"/>
      <c r="G24" s="190"/>
      <c r="H24" s="189"/>
      <c r="I24" s="99"/>
      <c r="J24" s="177"/>
      <c r="K24" s="177"/>
    </row>
    <row r="25" spans="1:11" s="178" customFormat="1" ht="14.25" customHeight="1">
      <c r="A25" s="173"/>
      <c r="B25" s="179">
        <v>750</v>
      </c>
      <c r="C25" s="37" t="s">
        <v>269</v>
      </c>
      <c r="D25" s="185"/>
      <c r="E25" s="72">
        <f>SUM(E102+E350)</f>
        <v>864375</v>
      </c>
      <c r="F25" s="175">
        <f>SUM(F102+F350)</f>
        <v>556424.76</v>
      </c>
      <c r="G25" s="175">
        <f>SUM(G102+G350)</f>
        <v>556424.76</v>
      </c>
      <c r="H25" s="175">
        <f>SUM(H102+H350)</f>
        <v>0</v>
      </c>
      <c r="I25" s="82">
        <f>SUM(F25/E25)</f>
        <v>0.6437</v>
      </c>
      <c r="J25" s="177"/>
      <c r="K25" s="177"/>
    </row>
    <row r="26" spans="1:11" s="178" customFormat="1" ht="6.75" customHeight="1">
      <c r="A26" s="173"/>
      <c r="B26" s="180"/>
      <c r="C26" s="39"/>
      <c r="D26" s="181"/>
      <c r="E26" s="191"/>
      <c r="F26" s="192"/>
      <c r="G26" s="193"/>
      <c r="H26" s="192"/>
      <c r="I26" s="99"/>
      <c r="J26" s="177"/>
      <c r="K26" s="177"/>
    </row>
    <row r="27" spans="1:11" s="178" customFormat="1" ht="14.25" customHeight="1">
      <c r="A27" s="173"/>
      <c r="B27" s="180">
        <v>751</v>
      </c>
      <c r="C27" s="39" t="s">
        <v>29</v>
      </c>
      <c r="D27" s="181"/>
      <c r="E27" s="191"/>
      <c r="F27" s="192"/>
      <c r="G27" s="193"/>
      <c r="H27" s="192"/>
      <c r="I27" s="82"/>
      <c r="J27" s="177"/>
      <c r="K27" s="177"/>
    </row>
    <row r="28" spans="1:11" s="178" customFormat="1" ht="14.25" customHeight="1">
      <c r="A28" s="173"/>
      <c r="B28" s="180"/>
      <c r="C28" s="39" t="s">
        <v>91</v>
      </c>
      <c r="D28" s="181"/>
      <c r="E28" s="72">
        <f>SUM(E358)</f>
        <v>6000</v>
      </c>
      <c r="F28" s="175">
        <f>SUM(F358)</f>
        <v>6000</v>
      </c>
      <c r="G28" s="175">
        <f>SUM(G358)</f>
        <v>6000</v>
      </c>
      <c r="H28" s="175">
        <f>SUM(H358)</f>
        <v>0</v>
      </c>
      <c r="I28" s="82">
        <f>SUM(F28/E28)</f>
        <v>1</v>
      </c>
      <c r="J28" s="177"/>
      <c r="K28" s="177"/>
    </row>
    <row r="29" spans="1:11" s="178" customFormat="1" ht="9.75" customHeight="1">
      <c r="A29" s="173"/>
      <c r="B29" s="194"/>
      <c r="C29" s="42"/>
      <c r="D29" s="187"/>
      <c r="E29" s="195"/>
      <c r="F29" s="196"/>
      <c r="G29" s="197"/>
      <c r="H29" s="196"/>
      <c r="I29" s="99"/>
      <c r="J29" s="177"/>
      <c r="K29" s="177"/>
    </row>
    <row r="30" spans="1:11" s="178" customFormat="1" ht="14.25" customHeight="1">
      <c r="A30" s="173"/>
      <c r="B30" s="180">
        <v>754</v>
      </c>
      <c r="C30" s="39" t="s">
        <v>270</v>
      </c>
      <c r="D30" s="181"/>
      <c r="E30" s="191"/>
      <c r="F30" s="192"/>
      <c r="G30" s="193"/>
      <c r="H30" s="192"/>
      <c r="I30" s="82"/>
      <c r="J30" s="177"/>
      <c r="K30" s="177"/>
    </row>
    <row r="31" spans="1:11" s="178" customFormat="1" ht="14.25" customHeight="1">
      <c r="A31" s="173"/>
      <c r="B31" s="198"/>
      <c r="C31" s="37" t="s">
        <v>276</v>
      </c>
      <c r="D31" s="185"/>
      <c r="E31" s="72">
        <f>SUM(E123)</f>
        <v>46938</v>
      </c>
      <c r="F31" s="175">
        <f>SUM(F123)</f>
        <v>38775.28</v>
      </c>
      <c r="G31" s="175">
        <f>SUM(G123)</f>
        <v>30275.28</v>
      </c>
      <c r="H31" s="175">
        <f>SUM(H123)</f>
        <v>8500</v>
      </c>
      <c r="I31" s="54">
        <f>SUM(F31/E31)</f>
        <v>0.8261</v>
      </c>
      <c r="J31" s="177"/>
      <c r="K31" s="177"/>
    </row>
    <row r="32" spans="1:11" s="178" customFormat="1" ht="14.25" customHeight="1">
      <c r="A32" s="173"/>
      <c r="B32" s="180">
        <v>756</v>
      </c>
      <c r="C32" s="39" t="s">
        <v>30</v>
      </c>
      <c r="D32" s="181"/>
      <c r="E32" s="191"/>
      <c r="F32" s="192"/>
      <c r="G32" s="193"/>
      <c r="H32" s="192"/>
      <c r="I32" s="82"/>
      <c r="J32" s="177"/>
      <c r="K32" s="177"/>
    </row>
    <row r="33" spans="1:11" s="178" customFormat="1" ht="14.25" customHeight="1">
      <c r="A33" s="173"/>
      <c r="B33" s="180"/>
      <c r="C33" s="39" t="s">
        <v>31</v>
      </c>
      <c r="D33" s="181"/>
      <c r="E33" s="199"/>
      <c r="F33" s="200"/>
      <c r="G33" s="201"/>
      <c r="H33" s="200"/>
      <c r="I33" s="82"/>
      <c r="J33" s="177"/>
      <c r="K33" s="177"/>
    </row>
    <row r="34" spans="1:11" s="178" customFormat="1" ht="12.75">
      <c r="A34" s="173"/>
      <c r="B34" s="180"/>
      <c r="C34" s="39" t="s">
        <v>118</v>
      </c>
      <c r="D34" s="181"/>
      <c r="E34" s="72">
        <f>SUM(E138)</f>
        <v>60096705</v>
      </c>
      <c r="F34" s="175">
        <f>SUM(F138)</f>
        <v>66648303.5</v>
      </c>
      <c r="G34" s="175">
        <f>SUM(G138)</f>
        <v>66648303.5</v>
      </c>
      <c r="H34" s="175">
        <f>SUM(H138)</f>
        <v>0</v>
      </c>
      <c r="I34" s="82">
        <f>SUM(F34/E34)</f>
        <v>1.109</v>
      </c>
      <c r="J34" s="177"/>
      <c r="K34" s="177"/>
    </row>
    <row r="35" spans="1:11" s="178" customFormat="1" ht="14.25" customHeight="1">
      <c r="A35" s="173"/>
      <c r="B35" s="186"/>
      <c r="C35" s="42"/>
      <c r="D35" s="187"/>
      <c r="E35" s="202"/>
      <c r="F35" s="196"/>
      <c r="G35" s="197"/>
      <c r="H35" s="196"/>
      <c r="I35" s="99"/>
      <c r="J35" s="177"/>
      <c r="K35" s="177"/>
    </row>
    <row r="36" spans="1:11" s="178" customFormat="1" ht="14.25" customHeight="1">
      <c r="A36" s="173"/>
      <c r="B36" s="203">
        <v>758</v>
      </c>
      <c r="C36" s="37" t="s">
        <v>278</v>
      </c>
      <c r="D36" s="185"/>
      <c r="E36" s="72">
        <f>SUM(E190)</f>
        <v>17431284</v>
      </c>
      <c r="F36" s="175">
        <f>SUM(F190)</f>
        <v>17899486.35</v>
      </c>
      <c r="G36" s="175">
        <f>SUM(G190)</f>
        <v>17899486.35</v>
      </c>
      <c r="H36" s="175">
        <f>SUM(H190)</f>
        <v>0</v>
      </c>
      <c r="I36" s="82">
        <f>SUM(F36/E36)</f>
        <v>1.0269</v>
      </c>
      <c r="J36" s="177"/>
      <c r="K36" s="177"/>
    </row>
    <row r="37" spans="1:11" s="178" customFormat="1" ht="14.25" customHeight="1">
      <c r="A37" s="173"/>
      <c r="B37" s="204"/>
      <c r="C37" s="39"/>
      <c r="D37" s="181"/>
      <c r="E37" s="191"/>
      <c r="F37" s="192"/>
      <c r="G37" s="193"/>
      <c r="H37" s="192"/>
      <c r="I37" s="99"/>
      <c r="J37" s="177"/>
      <c r="K37" s="177"/>
    </row>
    <row r="38" spans="1:11" s="178" customFormat="1" ht="14.25" customHeight="1">
      <c r="A38" s="173"/>
      <c r="B38" s="204">
        <v>801</v>
      </c>
      <c r="C38" s="39" t="s">
        <v>279</v>
      </c>
      <c r="D38" s="181"/>
      <c r="E38" s="72">
        <f>SUM(E205)</f>
        <v>1532532</v>
      </c>
      <c r="F38" s="205">
        <f>SUM(F205)</f>
        <v>1534874.07</v>
      </c>
      <c r="G38" s="175">
        <f>SUM(G205)</f>
        <v>484109.06</v>
      </c>
      <c r="H38" s="175">
        <f>SUM(H205)</f>
        <v>1050765.01</v>
      </c>
      <c r="I38" s="82">
        <f>SUM(F38/E38)</f>
        <v>1.0015</v>
      </c>
      <c r="J38" s="177"/>
      <c r="K38" s="177"/>
    </row>
    <row r="39" spans="1:11" s="178" customFormat="1" ht="14.25" customHeight="1">
      <c r="A39" s="173"/>
      <c r="B39" s="206"/>
      <c r="C39" s="42"/>
      <c r="D39" s="187"/>
      <c r="E39" s="202"/>
      <c r="F39" s="196"/>
      <c r="G39" s="197"/>
      <c r="H39" s="196"/>
      <c r="I39" s="99"/>
      <c r="J39" s="177"/>
      <c r="K39" s="177"/>
    </row>
    <row r="40" spans="1:11" s="178" customFormat="1" ht="14.25" customHeight="1">
      <c r="A40" s="173"/>
      <c r="B40" s="203">
        <v>851</v>
      </c>
      <c r="C40" s="37" t="s">
        <v>280</v>
      </c>
      <c r="D40" s="185"/>
      <c r="E40" s="72">
        <f>SUM(E234)+E366</f>
        <v>5288</v>
      </c>
      <c r="F40" s="175">
        <f>SUM(F234)+F366</f>
        <v>6053.23</v>
      </c>
      <c r="G40" s="175">
        <f>SUM(G234)+G366</f>
        <v>4981.23</v>
      </c>
      <c r="H40" s="175">
        <f>SUM(H234)+H366</f>
        <v>1072</v>
      </c>
      <c r="I40" s="82">
        <f>SUM(F40/E40)</f>
        <v>1.1447</v>
      </c>
      <c r="J40" s="177"/>
      <c r="K40" s="177"/>
    </row>
    <row r="41" spans="1:11" s="178" customFormat="1" ht="14.25" customHeight="1">
      <c r="A41" s="173"/>
      <c r="B41" s="204"/>
      <c r="C41" s="39"/>
      <c r="D41" s="181"/>
      <c r="E41" s="191"/>
      <c r="F41" s="192"/>
      <c r="G41" s="193"/>
      <c r="H41" s="192"/>
      <c r="I41" s="99"/>
      <c r="J41" s="177"/>
      <c r="K41" s="177"/>
    </row>
    <row r="42" spans="1:11" s="178" customFormat="1" ht="14.25" customHeight="1">
      <c r="A42" s="173"/>
      <c r="B42" s="203">
        <v>852</v>
      </c>
      <c r="C42" s="46" t="s">
        <v>116</v>
      </c>
      <c r="D42" s="207"/>
      <c r="E42" s="72">
        <f>SUM(E242+E371)+E447</f>
        <v>11671978</v>
      </c>
      <c r="F42" s="175">
        <f>SUM(F242+F371)+F447</f>
        <v>10639220.75</v>
      </c>
      <c r="G42" s="175">
        <f>SUM(G242+G371)+G447</f>
        <v>10639220.75</v>
      </c>
      <c r="H42" s="175">
        <f>SUM(H242+H371)+H447</f>
        <v>0</v>
      </c>
      <c r="I42" s="82">
        <f>SUM(F42/E42)</f>
        <v>0.9115</v>
      </c>
      <c r="J42" s="177"/>
      <c r="K42" s="177"/>
    </row>
    <row r="43" spans="1:11" s="178" customFormat="1" ht="14.25" customHeight="1">
      <c r="A43" s="173"/>
      <c r="B43" s="206"/>
      <c r="C43" s="42"/>
      <c r="D43" s="187"/>
      <c r="E43" s="208"/>
      <c r="F43" s="209"/>
      <c r="G43" s="193"/>
      <c r="H43" s="192"/>
      <c r="I43" s="99"/>
      <c r="J43" s="177"/>
      <c r="K43" s="177"/>
    </row>
    <row r="44" spans="1:11" s="178" customFormat="1" ht="14.25" customHeight="1">
      <c r="A44" s="173"/>
      <c r="B44" s="203">
        <v>853</v>
      </c>
      <c r="C44" s="37" t="s">
        <v>2</v>
      </c>
      <c r="D44" s="185"/>
      <c r="E44" s="72">
        <f>E263+E420+E432</f>
        <v>1170355</v>
      </c>
      <c r="F44" s="175">
        <f>SUM(F263)+F418+F432</f>
        <v>993529.82</v>
      </c>
      <c r="G44" s="175">
        <f>SUM(G263)+G418+G432</f>
        <v>993529.82</v>
      </c>
      <c r="H44" s="175">
        <f>SUM(H263)+H418+H432</f>
        <v>0</v>
      </c>
      <c r="I44" s="54">
        <f>SUM(F44/E44)</f>
        <v>0.8489</v>
      </c>
      <c r="J44" s="177"/>
      <c r="K44" s="177"/>
    </row>
    <row r="45" spans="1:11" s="178" customFormat="1" ht="14.25" customHeight="1">
      <c r="A45" s="173"/>
      <c r="B45" s="204"/>
      <c r="C45" s="39"/>
      <c r="D45" s="181"/>
      <c r="E45" s="210"/>
      <c r="F45" s="209"/>
      <c r="G45" s="209"/>
      <c r="H45" s="209"/>
      <c r="I45" s="82"/>
      <c r="J45" s="177"/>
      <c r="K45" s="177"/>
    </row>
    <row r="46" spans="1:11" s="178" customFormat="1" ht="14.25" customHeight="1">
      <c r="A46" s="173"/>
      <c r="B46" s="204">
        <v>854</v>
      </c>
      <c r="C46" s="211" t="s">
        <v>196</v>
      </c>
      <c r="D46" s="181"/>
      <c r="E46" s="210">
        <f>E271</f>
        <v>232340</v>
      </c>
      <c r="F46" s="212">
        <f>F271</f>
        <v>183988.97</v>
      </c>
      <c r="G46" s="209">
        <f>G271</f>
        <v>183988.97</v>
      </c>
      <c r="H46" s="209">
        <f>H271</f>
        <v>0</v>
      </c>
      <c r="I46" s="82">
        <f>SUM(F46/E46)</f>
        <v>0.7919</v>
      </c>
      <c r="J46" s="177"/>
      <c r="K46" s="177"/>
    </row>
    <row r="47" spans="1:11" s="178" customFormat="1" ht="14.25" customHeight="1">
      <c r="A47" s="173"/>
      <c r="B47" s="206"/>
      <c r="C47" s="42"/>
      <c r="D47" s="187"/>
      <c r="E47" s="202"/>
      <c r="F47" s="196"/>
      <c r="G47" s="197"/>
      <c r="H47" s="196"/>
      <c r="I47" s="99"/>
      <c r="J47" s="177"/>
      <c r="K47" s="177"/>
    </row>
    <row r="48" spans="1:11" s="178" customFormat="1" ht="14.25" customHeight="1">
      <c r="A48" s="173"/>
      <c r="B48" s="203">
        <v>900</v>
      </c>
      <c r="C48" s="37" t="s">
        <v>152</v>
      </c>
      <c r="D48" s="185"/>
      <c r="E48" s="72">
        <f>SUM(E276)</f>
        <v>9402164</v>
      </c>
      <c r="F48" s="175">
        <f>SUM(F276)</f>
        <v>8881046.01</v>
      </c>
      <c r="G48" s="175">
        <f>SUM(G276)</f>
        <v>3029239.95</v>
      </c>
      <c r="H48" s="175">
        <f>SUM(H276)</f>
        <v>5851806.06</v>
      </c>
      <c r="I48" s="82">
        <f>SUM(F48/E48)</f>
        <v>0.9446</v>
      </c>
      <c r="J48" s="177"/>
      <c r="K48" s="177"/>
    </row>
    <row r="49" spans="1:11" s="178" customFormat="1" ht="14.25" customHeight="1">
      <c r="A49" s="173"/>
      <c r="B49" s="180"/>
      <c r="C49" s="39"/>
      <c r="D49" s="181"/>
      <c r="E49" s="191"/>
      <c r="F49" s="192"/>
      <c r="G49" s="193"/>
      <c r="H49" s="192"/>
      <c r="I49" s="99"/>
      <c r="J49" s="177"/>
      <c r="K49" s="177"/>
    </row>
    <row r="50" spans="1:13" s="178" customFormat="1" ht="14.25" customHeight="1">
      <c r="A50" s="173"/>
      <c r="B50" s="179">
        <v>921</v>
      </c>
      <c r="C50" s="37" t="s">
        <v>66</v>
      </c>
      <c r="D50" s="185"/>
      <c r="E50" s="72">
        <f>SUM(E311)</f>
        <v>251360</v>
      </c>
      <c r="F50" s="175">
        <f>SUM(F311)</f>
        <v>1360.05</v>
      </c>
      <c r="G50" s="175">
        <f>SUM(G311)</f>
        <v>1360.05</v>
      </c>
      <c r="H50" s="175">
        <f>SUM(H311)</f>
        <v>0</v>
      </c>
      <c r="I50" s="82">
        <f>SUM(F50/E50)</f>
        <v>0.0054</v>
      </c>
      <c r="J50" s="177"/>
      <c r="K50" s="177"/>
      <c r="M50" s="178" t="s">
        <v>175</v>
      </c>
    </row>
    <row r="51" spans="1:11" s="178" customFormat="1" ht="14.25" customHeight="1">
      <c r="A51" s="173"/>
      <c r="B51" s="180"/>
      <c r="C51" s="39"/>
      <c r="D51" s="181"/>
      <c r="E51" s="191"/>
      <c r="F51" s="192"/>
      <c r="G51" s="193"/>
      <c r="H51" s="192"/>
      <c r="I51" s="99"/>
      <c r="J51" s="177"/>
      <c r="K51" s="177"/>
    </row>
    <row r="52" spans="1:14" s="178" customFormat="1" ht="14.25" customHeight="1" thickBot="1">
      <c r="A52" s="173"/>
      <c r="B52" s="213">
        <v>926</v>
      </c>
      <c r="C52" s="214" t="s">
        <v>93</v>
      </c>
      <c r="D52" s="215"/>
      <c r="E52" s="72">
        <f>SUM(E320)</f>
        <v>1760563</v>
      </c>
      <c r="F52" s="175">
        <f>SUM(F320)</f>
        <v>1698478.75</v>
      </c>
      <c r="G52" s="175">
        <f>SUM(G320)</f>
        <v>140329.23</v>
      </c>
      <c r="H52" s="175">
        <f>SUM(H320)</f>
        <v>1558149.52</v>
      </c>
      <c r="I52" s="82">
        <f>SUM(F52/E52)</f>
        <v>0.9647</v>
      </c>
      <c r="J52" s="177"/>
      <c r="K52" s="177"/>
      <c r="M52" s="598">
        <f>SUM(F54/41729)</f>
        <v>2772.85</v>
      </c>
      <c r="N52" s="178" t="s">
        <v>50</v>
      </c>
    </row>
    <row r="53" spans="1:11" s="178" customFormat="1" ht="14.25" customHeight="1">
      <c r="A53" s="173"/>
      <c r="B53" s="216"/>
      <c r="C53" s="48"/>
      <c r="D53" s="217"/>
      <c r="E53" s="218"/>
      <c r="F53" s="219"/>
      <c r="G53" s="220"/>
      <c r="H53" s="221"/>
      <c r="I53" s="222"/>
      <c r="J53" s="223"/>
      <c r="K53" s="223"/>
    </row>
    <row r="54" spans="1:18" s="178" customFormat="1" ht="14.25" customHeight="1" thickBot="1">
      <c r="A54" s="173"/>
      <c r="B54" s="224"/>
      <c r="C54" s="609" t="s">
        <v>5</v>
      </c>
      <c r="D54" s="610"/>
      <c r="E54" s="225">
        <f>SUM(E14:E52)</f>
        <v>114544106.07</v>
      </c>
      <c r="F54" s="225">
        <f>SUM(F14:F52)</f>
        <v>115708325.13</v>
      </c>
      <c r="G54" s="225">
        <f>SUM(G14:G52)</f>
        <v>101216231.92</v>
      </c>
      <c r="H54" s="225">
        <f>SUM(H14:H52)</f>
        <v>14492093.21</v>
      </c>
      <c r="I54" s="108">
        <f>SUM(F54/E54)</f>
        <v>1.0102</v>
      </c>
      <c r="J54" s="226"/>
      <c r="K54" s="227"/>
      <c r="L54" s="228"/>
      <c r="M54" s="599">
        <f>SUM(G54/41729)</f>
        <v>2425.56</v>
      </c>
      <c r="N54" s="600" t="s">
        <v>183</v>
      </c>
      <c r="O54" s="228"/>
      <c r="P54" s="229"/>
      <c r="Q54" s="229"/>
      <c r="R54" s="229"/>
    </row>
    <row r="55" spans="1:14" s="2" customFormat="1" ht="14.25" customHeight="1">
      <c r="A55" s="611" t="s">
        <v>32</v>
      </c>
      <c r="B55" s="611"/>
      <c r="C55" s="611"/>
      <c r="D55" s="611"/>
      <c r="E55" s="611"/>
      <c r="F55" s="611"/>
      <c r="G55" s="611"/>
      <c r="I55" s="3"/>
      <c r="M55" s="599"/>
      <c r="N55" s="178"/>
    </row>
    <row r="56" spans="1:14" s="178" customFormat="1" ht="14.25" customHeight="1" thickBot="1">
      <c r="A56" s="231"/>
      <c r="B56" s="233"/>
      <c r="C56" s="234"/>
      <c r="D56" s="233"/>
      <c r="E56" s="235"/>
      <c r="F56" s="236"/>
      <c r="G56" s="236"/>
      <c r="H56" s="237"/>
      <c r="I56" s="238" t="s">
        <v>100</v>
      </c>
      <c r="J56" s="223"/>
      <c r="K56" s="223"/>
      <c r="M56" s="598">
        <f>SUM(H54/41729)</f>
        <v>347.29</v>
      </c>
      <c r="N56" s="178" t="s">
        <v>176</v>
      </c>
    </row>
    <row r="57" spans="1:11" s="240" customFormat="1" ht="14.25" customHeight="1">
      <c r="A57" s="603" t="s">
        <v>264</v>
      </c>
      <c r="B57" s="605" t="s">
        <v>282</v>
      </c>
      <c r="C57" s="605" t="s">
        <v>77</v>
      </c>
      <c r="D57" s="605" t="s">
        <v>283</v>
      </c>
      <c r="E57" s="618" t="s">
        <v>190</v>
      </c>
      <c r="F57" s="620" t="s">
        <v>193</v>
      </c>
      <c r="G57" s="622" t="s">
        <v>284</v>
      </c>
      <c r="H57" s="623"/>
      <c r="I57" s="607" t="s">
        <v>33</v>
      </c>
      <c r="J57" s="239"/>
      <c r="K57" s="239"/>
    </row>
    <row r="58" spans="1:11" s="242" customFormat="1" ht="25.5">
      <c r="A58" s="604"/>
      <c r="B58" s="606"/>
      <c r="C58" s="606"/>
      <c r="D58" s="606"/>
      <c r="E58" s="619"/>
      <c r="F58" s="621"/>
      <c r="G58" s="168" t="s">
        <v>194</v>
      </c>
      <c r="H58" s="169" t="s">
        <v>195</v>
      </c>
      <c r="I58" s="608"/>
      <c r="J58" s="241"/>
      <c r="K58" s="241"/>
    </row>
    <row r="59" spans="1:11" s="172" customFormat="1" ht="14.25" customHeight="1" thickBot="1">
      <c r="A59" s="471">
        <v>1</v>
      </c>
      <c r="B59" s="50">
        <v>2</v>
      </c>
      <c r="C59" s="50">
        <v>3</v>
      </c>
      <c r="D59" s="50">
        <v>4</v>
      </c>
      <c r="E59" s="472">
        <v>5</v>
      </c>
      <c r="F59" s="473">
        <v>6</v>
      </c>
      <c r="G59" s="474">
        <v>7</v>
      </c>
      <c r="H59" s="475">
        <v>8</v>
      </c>
      <c r="I59" s="476">
        <v>9</v>
      </c>
      <c r="J59" s="171"/>
      <c r="K59" s="171"/>
    </row>
    <row r="60" spans="1:11" s="246" customFormat="1" ht="31.5" customHeight="1">
      <c r="A60" s="243">
        <v>400</v>
      </c>
      <c r="B60" s="244"/>
      <c r="C60" s="21"/>
      <c r="D60" s="70" t="s">
        <v>34</v>
      </c>
      <c r="E60" s="72">
        <f>SUM(E62)</f>
        <v>80000</v>
      </c>
      <c r="F60" s="175">
        <f>SUM(F62)</f>
        <v>65565.57</v>
      </c>
      <c r="G60" s="175">
        <f>SUM(G62)</f>
        <v>0</v>
      </c>
      <c r="H60" s="175">
        <f>SUM(H62)</f>
        <v>65565.57</v>
      </c>
      <c r="I60" s="54">
        <f>SUM(F60/E60)</f>
        <v>0.8196</v>
      </c>
      <c r="J60" s="245"/>
      <c r="K60" s="245"/>
    </row>
    <row r="61" spans="1:11" s="246" customFormat="1" ht="14.25" customHeight="1">
      <c r="A61" s="243"/>
      <c r="B61" s="20"/>
      <c r="C61" s="20"/>
      <c r="D61" s="247"/>
      <c r="E61" s="210"/>
      <c r="F61" s="209"/>
      <c r="G61" s="197"/>
      <c r="H61" s="196"/>
      <c r="I61" s="99"/>
      <c r="J61" s="245"/>
      <c r="K61" s="245"/>
    </row>
    <row r="62" spans="1:11" s="246" customFormat="1" ht="14.25" customHeight="1">
      <c r="A62" s="243"/>
      <c r="B62" s="20">
        <v>40002</v>
      </c>
      <c r="C62" s="21"/>
      <c r="D62" s="211" t="s">
        <v>62</v>
      </c>
      <c r="E62" s="72">
        <f>SUM(E63:E63)</f>
        <v>80000</v>
      </c>
      <c r="F62" s="175">
        <f>SUM(F63:F63)</f>
        <v>65565.57</v>
      </c>
      <c r="G62" s="175">
        <f>SUM(G63:G63)</f>
        <v>0</v>
      </c>
      <c r="H62" s="175">
        <f>SUM(H63:H63)</f>
        <v>65565.57</v>
      </c>
      <c r="I62" s="54">
        <f>SUM(F62/E62)</f>
        <v>0.8196</v>
      </c>
      <c r="J62" s="245"/>
      <c r="K62" s="245"/>
    </row>
    <row r="63" spans="1:11" s="246" customFormat="1" ht="39.75" customHeight="1" thickBot="1">
      <c r="A63" s="248"/>
      <c r="B63" s="104"/>
      <c r="C63" s="104">
        <v>6260</v>
      </c>
      <c r="D63" s="57" t="s">
        <v>151</v>
      </c>
      <c r="E63" s="249">
        <v>80000</v>
      </c>
      <c r="F63" s="250">
        <f>SUM(G63+H63)</f>
        <v>65565.57</v>
      </c>
      <c r="G63" s="251"/>
      <c r="H63" s="250">
        <v>65565.57</v>
      </c>
      <c r="I63" s="58">
        <f>SUM(F63/E63)</f>
        <v>0.8196</v>
      </c>
      <c r="J63" s="245"/>
      <c r="K63" s="245"/>
    </row>
    <row r="64" spans="1:11" s="246" customFormat="1" ht="27" customHeight="1" thickTop="1">
      <c r="A64" s="243">
        <v>600</v>
      </c>
      <c r="B64" s="244"/>
      <c r="C64" s="21"/>
      <c r="D64" s="211" t="s">
        <v>266</v>
      </c>
      <c r="E64" s="72">
        <f>SUM(E66)</f>
        <v>468</v>
      </c>
      <c r="F64" s="175">
        <f>SUM(F66)</f>
        <v>2281.82</v>
      </c>
      <c r="G64" s="38">
        <f>SUM(G66)</f>
        <v>2281.82</v>
      </c>
      <c r="H64" s="175">
        <f>SUM(H66)</f>
        <v>0</v>
      </c>
      <c r="I64" s="54">
        <f>SUM(F64/E64)</f>
        <v>4.8757</v>
      </c>
      <c r="J64" s="245"/>
      <c r="K64" s="245"/>
    </row>
    <row r="65" spans="1:11" s="246" customFormat="1" ht="14.25" customHeight="1">
      <c r="A65" s="243"/>
      <c r="B65" s="20"/>
      <c r="C65" s="20"/>
      <c r="D65" s="247"/>
      <c r="E65" s="210"/>
      <c r="F65" s="252"/>
      <c r="G65" s="253"/>
      <c r="H65" s="254"/>
      <c r="I65" s="99"/>
      <c r="J65" s="245"/>
      <c r="K65" s="245"/>
    </row>
    <row r="66" spans="1:11" s="246" customFormat="1" ht="14.25" customHeight="1">
      <c r="A66" s="243"/>
      <c r="B66" s="20">
        <v>60016</v>
      </c>
      <c r="C66" s="21"/>
      <c r="D66" s="211" t="s">
        <v>63</v>
      </c>
      <c r="E66" s="72">
        <f>SUM(E67:E68)</f>
        <v>468</v>
      </c>
      <c r="F66" s="175">
        <f>SUM(F67:F68)</f>
        <v>2281.82</v>
      </c>
      <c r="G66" s="175">
        <f>SUM(G67:G68)</f>
        <v>2281.82</v>
      </c>
      <c r="H66" s="175">
        <f>SUM(H67:H68)</f>
        <v>0</v>
      </c>
      <c r="I66" s="54">
        <f>SUM(F66/E66)</f>
        <v>4.8757</v>
      </c>
      <c r="J66" s="245"/>
      <c r="K66" s="245"/>
    </row>
    <row r="67" spans="1:11" s="265" customFormat="1" ht="30.75" customHeight="1" hidden="1" thickBot="1">
      <c r="A67" s="255"/>
      <c r="B67" s="256"/>
      <c r="C67" s="257" t="s">
        <v>130</v>
      </c>
      <c r="D67" s="258" t="s">
        <v>10</v>
      </c>
      <c r="E67" s="259">
        <v>0</v>
      </c>
      <c r="F67" s="260">
        <f>G67+H67</f>
        <v>0</v>
      </c>
      <c r="G67" s="261"/>
      <c r="H67" s="262"/>
      <c r="I67" s="263" t="e">
        <f>SUM(F67/E67)</f>
        <v>#DIV/0!</v>
      </c>
      <c r="J67" s="264"/>
      <c r="K67" s="264"/>
    </row>
    <row r="68" spans="1:11" s="246" customFormat="1" ht="30.75" customHeight="1">
      <c r="A68" s="243"/>
      <c r="B68" s="20"/>
      <c r="C68" s="85" t="s">
        <v>127</v>
      </c>
      <c r="D68" s="70" t="s">
        <v>197</v>
      </c>
      <c r="E68" s="266">
        <v>468</v>
      </c>
      <c r="F68" s="205">
        <f>G68+H68</f>
        <v>2281.82</v>
      </c>
      <c r="G68" s="267">
        <v>2281.82</v>
      </c>
      <c r="H68" s="268"/>
      <c r="I68" s="65">
        <f>SUM(F68/E68)</f>
        <v>4.8757</v>
      </c>
      <c r="J68" s="245"/>
      <c r="K68" s="245"/>
    </row>
    <row r="69" spans="1:11" s="246" customFormat="1" ht="14.25" customHeight="1">
      <c r="A69" s="243"/>
      <c r="B69" s="20"/>
      <c r="C69" s="20"/>
      <c r="D69" s="247"/>
      <c r="E69" s="210"/>
      <c r="F69" s="209"/>
      <c r="G69" s="193"/>
      <c r="H69" s="192"/>
      <c r="I69" s="82"/>
      <c r="J69" s="245"/>
      <c r="K69" s="245"/>
    </row>
    <row r="70" spans="1:11" s="246" customFormat="1" ht="14.25" customHeight="1">
      <c r="A70" s="243">
        <v>630</v>
      </c>
      <c r="B70" s="21"/>
      <c r="C70" s="20"/>
      <c r="D70" s="247" t="s">
        <v>267</v>
      </c>
      <c r="E70" s="210">
        <f>SUM(E72)</f>
        <v>0</v>
      </c>
      <c r="F70" s="209">
        <f>SUM(F72)</f>
        <v>0.01</v>
      </c>
      <c r="G70" s="209">
        <f>SUM(G72)</f>
        <v>0.01</v>
      </c>
      <c r="H70" s="209">
        <f>SUM(H72)</f>
        <v>0</v>
      </c>
      <c r="I70" s="54"/>
      <c r="J70" s="245"/>
      <c r="K70" s="245"/>
    </row>
    <row r="71" spans="1:11" s="246" customFormat="1" ht="14.25" customHeight="1">
      <c r="A71" s="243"/>
      <c r="B71" s="269"/>
      <c r="C71" s="270"/>
      <c r="D71" s="271"/>
      <c r="E71" s="272"/>
      <c r="F71" s="273"/>
      <c r="G71" s="197"/>
      <c r="H71" s="196"/>
      <c r="I71" s="99"/>
      <c r="J71" s="245"/>
      <c r="K71" s="245"/>
    </row>
    <row r="72" spans="1:11" s="246" customFormat="1" ht="22.5" customHeight="1">
      <c r="A72" s="243"/>
      <c r="B72" s="269">
        <v>63003</v>
      </c>
      <c r="C72" s="21"/>
      <c r="D72" s="211" t="s">
        <v>64</v>
      </c>
      <c r="E72" s="274">
        <f>SUM(E73)</f>
        <v>0</v>
      </c>
      <c r="F72" s="38">
        <f>SUM(F73)</f>
        <v>0.01</v>
      </c>
      <c r="G72" s="38">
        <f>SUM(G73)</f>
        <v>0.01</v>
      </c>
      <c r="H72" s="175">
        <f>SUM(H73)</f>
        <v>0</v>
      </c>
      <c r="I72" s="54"/>
      <c r="J72" s="245"/>
      <c r="K72" s="245"/>
    </row>
    <row r="73" spans="1:11" s="165" customFormat="1" ht="36" customHeight="1" thickBot="1">
      <c r="A73" s="275"/>
      <c r="B73" s="276"/>
      <c r="C73" s="276">
        <v>2910</v>
      </c>
      <c r="D73" s="277" t="s">
        <v>110</v>
      </c>
      <c r="E73" s="278">
        <v>0</v>
      </c>
      <c r="F73" s="279">
        <f>SUM(G73:H73)</f>
        <v>0.01</v>
      </c>
      <c r="G73" s="280">
        <v>0.01</v>
      </c>
      <c r="H73" s="281"/>
      <c r="I73" s="68"/>
      <c r="J73" s="166"/>
      <c r="K73" s="166"/>
    </row>
    <row r="74" spans="1:11" s="246" customFormat="1" ht="14.25" customHeight="1" thickTop="1">
      <c r="A74" s="282"/>
      <c r="B74" s="20"/>
      <c r="C74" s="20"/>
      <c r="D74" s="247"/>
      <c r="E74" s="210"/>
      <c r="F74" s="252"/>
      <c r="G74" s="283"/>
      <c r="H74" s="284"/>
      <c r="I74" s="82"/>
      <c r="J74" s="245"/>
      <c r="K74" s="245"/>
    </row>
    <row r="75" spans="1:11" s="246" customFormat="1" ht="20.25" customHeight="1">
      <c r="A75" s="243">
        <v>700</v>
      </c>
      <c r="B75" s="244"/>
      <c r="C75" s="21"/>
      <c r="D75" s="211" t="s">
        <v>268</v>
      </c>
      <c r="E75" s="72">
        <f>SUM(E77+E82)+E90</f>
        <v>9426374</v>
      </c>
      <c r="F75" s="175">
        <f>SUM(F77+F82)+F90</f>
        <v>5967325.22</v>
      </c>
      <c r="G75" s="175">
        <f>SUM(G77+G82)+G90</f>
        <v>261090.17</v>
      </c>
      <c r="H75" s="175">
        <f>SUM(H77+H82)+H90</f>
        <v>5706235.05</v>
      </c>
      <c r="I75" s="54">
        <f>SUM(F75/E75)</f>
        <v>0.633</v>
      </c>
      <c r="J75" s="245"/>
      <c r="K75" s="245"/>
    </row>
    <row r="76" spans="1:11" s="246" customFormat="1" ht="14.25" customHeight="1">
      <c r="A76" s="243"/>
      <c r="B76" s="20"/>
      <c r="C76" s="20"/>
      <c r="D76" s="247"/>
      <c r="E76" s="210"/>
      <c r="F76" s="209"/>
      <c r="G76" s="197"/>
      <c r="H76" s="196"/>
      <c r="I76" s="99"/>
      <c r="J76" s="245"/>
      <c r="K76" s="245"/>
    </row>
    <row r="77" spans="1:11" s="246" customFormat="1" ht="21" customHeight="1">
      <c r="A77" s="243"/>
      <c r="B77" s="20">
        <v>70001</v>
      </c>
      <c r="C77" s="21"/>
      <c r="D77" s="211" t="s">
        <v>55</v>
      </c>
      <c r="E77" s="72">
        <f>SUM(E78:E80)</f>
        <v>3420187</v>
      </c>
      <c r="F77" s="205">
        <f>SUM(F78:F80)</f>
        <v>3420187.25</v>
      </c>
      <c r="G77" s="205">
        <f>SUM(G78:G80)</f>
        <v>50187.25</v>
      </c>
      <c r="H77" s="205">
        <f>SUM(H78:H80)</f>
        <v>3370000</v>
      </c>
      <c r="I77" s="54">
        <f>SUM(F77/E77)</f>
        <v>1</v>
      </c>
      <c r="J77" s="245"/>
      <c r="K77" s="245"/>
    </row>
    <row r="78" spans="1:11" s="246" customFormat="1" ht="36.75" customHeight="1">
      <c r="A78" s="243"/>
      <c r="B78" s="20"/>
      <c r="C78" s="21">
        <v>2370</v>
      </c>
      <c r="D78" s="285" t="s">
        <v>198</v>
      </c>
      <c r="E78" s="72">
        <v>50187</v>
      </c>
      <c r="F78" s="286">
        <f>SUM(G78:H78)</f>
        <v>50187.22</v>
      </c>
      <c r="G78" s="175">
        <v>50187.22</v>
      </c>
      <c r="H78" s="175">
        <v>0</v>
      </c>
      <c r="I78" s="54">
        <f>F78/E78</f>
        <v>1</v>
      </c>
      <c r="J78" s="245"/>
      <c r="K78" s="245"/>
    </row>
    <row r="79" spans="1:11" s="165" customFormat="1" ht="31.5" customHeight="1">
      <c r="A79" s="180"/>
      <c r="B79" s="55"/>
      <c r="C79" s="52">
        <v>2910</v>
      </c>
      <c r="D79" s="287" t="s">
        <v>110</v>
      </c>
      <c r="E79" s="288">
        <v>0</v>
      </c>
      <c r="F79" s="286">
        <f>SUM(G79:H79)</f>
        <v>0.03</v>
      </c>
      <c r="G79" s="286">
        <v>0.03</v>
      </c>
      <c r="H79" s="286"/>
      <c r="I79" s="65"/>
      <c r="J79" s="166"/>
      <c r="K79" s="166"/>
    </row>
    <row r="80" spans="1:11" s="246" customFormat="1" ht="38.25">
      <c r="A80" s="243"/>
      <c r="B80" s="21"/>
      <c r="C80" s="21">
        <v>6260</v>
      </c>
      <c r="D80" s="70" t="s">
        <v>151</v>
      </c>
      <c r="E80" s="266">
        <v>3370000</v>
      </c>
      <c r="F80" s="286">
        <f>SUM(G80:H80)</f>
        <v>3370000</v>
      </c>
      <c r="G80" s="193"/>
      <c r="H80" s="192">
        <v>3370000</v>
      </c>
      <c r="I80" s="65">
        <f>SUM(F80/E80)</f>
        <v>1</v>
      </c>
      <c r="J80" s="245"/>
      <c r="K80" s="245"/>
    </row>
    <row r="81" spans="1:11" s="246" customFormat="1" ht="14.25" customHeight="1">
      <c r="A81" s="243"/>
      <c r="B81" s="20"/>
      <c r="C81" s="20"/>
      <c r="D81" s="247"/>
      <c r="E81" s="210"/>
      <c r="F81" s="252"/>
      <c r="G81" s="253"/>
      <c r="H81" s="254"/>
      <c r="I81" s="99"/>
      <c r="J81" s="245"/>
      <c r="K81" s="245"/>
    </row>
    <row r="82" spans="1:11" s="246" customFormat="1" ht="14.25" customHeight="1">
      <c r="A82" s="243"/>
      <c r="B82" s="20">
        <v>70005</v>
      </c>
      <c r="C82" s="21"/>
      <c r="D82" s="211" t="s">
        <v>65</v>
      </c>
      <c r="E82" s="72">
        <f>SUM(E83:E87)+E88</f>
        <v>5959589</v>
      </c>
      <c r="F82" s="175">
        <f>SUM(F83:F87)+F88</f>
        <v>2500540.11</v>
      </c>
      <c r="G82" s="175">
        <f>SUM(G83:G87)+G88</f>
        <v>164305.06</v>
      </c>
      <c r="H82" s="175">
        <f>SUM(H83:H87)+H88</f>
        <v>2336235.05</v>
      </c>
      <c r="I82" s="289">
        <f>F82/E82</f>
        <v>0.4196</v>
      </c>
      <c r="J82" s="245"/>
      <c r="K82" s="245"/>
    </row>
    <row r="83" spans="1:11" s="246" customFormat="1" ht="30" customHeight="1">
      <c r="A83" s="243"/>
      <c r="B83" s="20"/>
      <c r="C83" s="71" t="s">
        <v>125</v>
      </c>
      <c r="D83" s="70" t="s">
        <v>155</v>
      </c>
      <c r="E83" s="266">
        <v>117000</v>
      </c>
      <c r="F83" s="286">
        <f aca="true" t="shared" si="0" ref="F83:F88">SUM(G83:H83)</f>
        <v>114523.57</v>
      </c>
      <c r="G83" s="193">
        <v>114523.57</v>
      </c>
      <c r="H83" s="192"/>
      <c r="I83" s="65">
        <f aca="true" t="shared" si="1" ref="I83:I88">SUM(F83/E83)</f>
        <v>0.9788</v>
      </c>
      <c r="J83" s="245"/>
      <c r="K83" s="245"/>
    </row>
    <row r="84" spans="1:11" s="246" customFormat="1" ht="33" customHeight="1">
      <c r="A84" s="243"/>
      <c r="B84" s="20"/>
      <c r="C84" s="71" t="s">
        <v>129</v>
      </c>
      <c r="D84" s="70" t="s">
        <v>158</v>
      </c>
      <c r="E84" s="266">
        <v>6</v>
      </c>
      <c r="F84" s="286">
        <f t="shared" si="0"/>
        <v>12.28</v>
      </c>
      <c r="G84" s="290">
        <v>12.28</v>
      </c>
      <c r="H84" s="291"/>
      <c r="I84" s="65">
        <f t="shared" si="1"/>
        <v>2.0467</v>
      </c>
      <c r="J84" s="245"/>
      <c r="K84" s="245"/>
    </row>
    <row r="85" spans="1:11" s="246" customFormat="1" ht="34.5" customHeight="1">
      <c r="A85" s="243"/>
      <c r="B85" s="20"/>
      <c r="C85" s="71" t="s">
        <v>83</v>
      </c>
      <c r="D85" s="70" t="s">
        <v>84</v>
      </c>
      <c r="E85" s="266">
        <v>70000</v>
      </c>
      <c r="F85" s="286">
        <f t="shared" si="0"/>
        <v>30338.42</v>
      </c>
      <c r="G85" s="290"/>
      <c r="H85" s="291">
        <v>30338.42</v>
      </c>
      <c r="I85" s="65">
        <f t="shared" si="1"/>
        <v>0.4334</v>
      </c>
      <c r="J85" s="245"/>
      <c r="K85" s="245"/>
    </row>
    <row r="86" spans="1:11" s="246" customFormat="1" ht="33.75" customHeight="1">
      <c r="A86" s="243"/>
      <c r="B86" s="97"/>
      <c r="C86" s="74" t="s">
        <v>199</v>
      </c>
      <c r="D86" s="66" t="s">
        <v>200</v>
      </c>
      <c r="E86" s="266">
        <v>5767000</v>
      </c>
      <c r="F86" s="286">
        <f t="shared" si="0"/>
        <v>2305896.63</v>
      </c>
      <c r="G86" s="193"/>
      <c r="H86" s="192">
        <v>2305896.63</v>
      </c>
      <c r="I86" s="65">
        <f t="shared" si="1"/>
        <v>0.3998</v>
      </c>
      <c r="J86" s="245"/>
      <c r="K86" s="245"/>
    </row>
    <row r="87" spans="1:11" s="246" customFormat="1" ht="29.25" customHeight="1">
      <c r="A87" s="243"/>
      <c r="B87" s="20"/>
      <c r="C87" s="74" t="s">
        <v>126</v>
      </c>
      <c r="D87" s="66" t="s">
        <v>163</v>
      </c>
      <c r="E87" s="266">
        <v>2365</v>
      </c>
      <c r="F87" s="286">
        <f t="shared" si="0"/>
        <v>2802.54</v>
      </c>
      <c r="G87" s="290">
        <v>2802.54</v>
      </c>
      <c r="H87" s="291"/>
      <c r="I87" s="65">
        <f t="shared" si="1"/>
        <v>1.185</v>
      </c>
      <c r="J87" s="245"/>
      <c r="K87" s="245"/>
    </row>
    <row r="88" spans="1:11" s="246" customFormat="1" ht="25.5" customHeight="1" thickBot="1">
      <c r="A88" s="532"/>
      <c r="B88" s="405"/>
      <c r="C88" s="89" t="s">
        <v>127</v>
      </c>
      <c r="D88" s="90" t="s">
        <v>156</v>
      </c>
      <c r="E88" s="533">
        <v>3218</v>
      </c>
      <c r="F88" s="534">
        <f t="shared" si="0"/>
        <v>46966.67</v>
      </c>
      <c r="G88" s="535">
        <v>46966.67</v>
      </c>
      <c r="H88" s="536"/>
      <c r="I88" s="91">
        <f t="shared" si="1"/>
        <v>14.595</v>
      </c>
      <c r="J88" s="245"/>
      <c r="K88" s="245"/>
    </row>
    <row r="89" spans="1:11" s="172" customFormat="1" ht="14.25" customHeight="1">
      <c r="A89" s="537">
        <v>1</v>
      </c>
      <c r="B89" s="92">
        <v>2</v>
      </c>
      <c r="C89" s="92">
        <v>3</v>
      </c>
      <c r="D89" s="92">
        <v>4</v>
      </c>
      <c r="E89" s="538">
        <v>5</v>
      </c>
      <c r="F89" s="539">
        <v>6</v>
      </c>
      <c r="G89" s="539">
        <v>7</v>
      </c>
      <c r="H89" s="540">
        <v>8</v>
      </c>
      <c r="I89" s="541">
        <v>9</v>
      </c>
      <c r="J89" s="171"/>
      <c r="K89" s="171"/>
    </row>
    <row r="90" spans="1:11" s="246" customFormat="1" ht="31.5" customHeight="1">
      <c r="A90" s="243"/>
      <c r="B90" s="20">
        <v>70095</v>
      </c>
      <c r="C90" s="105"/>
      <c r="D90" s="78" t="s">
        <v>68</v>
      </c>
      <c r="E90" s="293">
        <f>E91</f>
        <v>46598</v>
      </c>
      <c r="F90" s="294">
        <f>F91</f>
        <v>46597.86</v>
      </c>
      <c r="G90" s="193">
        <f>G91</f>
        <v>46597.86</v>
      </c>
      <c r="H90" s="192">
        <f>H91</f>
        <v>0</v>
      </c>
      <c r="I90" s="65">
        <f>SUM(F90/E90)</f>
        <v>1</v>
      </c>
      <c r="J90" s="245"/>
      <c r="K90" s="245"/>
    </row>
    <row r="91" spans="1:11" s="246" customFormat="1" ht="31.5" customHeight="1" thickBot="1">
      <c r="A91" s="248"/>
      <c r="B91" s="104"/>
      <c r="C91" s="75" t="s">
        <v>179</v>
      </c>
      <c r="D91" s="76" t="s">
        <v>180</v>
      </c>
      <c r="E91" s="278">
        <v>46598</v>
      </c>
      <c r="F91" s="295">
        <f>G91+H91</f>
        <v>46597.86</v>
      </c>
      <c r="G91" s="296">
        <v>46597.86</v>
      </c>
      <c r="H91" s="297"/>
      <c r="I91" s="68">
        <f>SUM(F91/E91)</f>
        <v>1</v>
      </c>
      <c r="J91" s="245"/>
      <c r="K91" s="245"/>
    </row>
    <row r="92" spans="1:11" s="246" customFormat="1" ht="14.25" customHeight="1" thickTop="1">
      <c r="A92" s="243"/>
      <c r="B92" s="20"/>
      <c r="C92" s="77"/>
      <c r="D92" s="78"/>
      <c r="E92" s="210"/>
      <c r="F92" s="209"/>
      <c r="G92" s="193"/>
      <c r="H92" s="192"/>
      <c r="I92" s="82"/>
      <c r="J92" s="245"/>
      <c r="K92" s="245"/>
    </row>
    <row r="93" spans="1:11" s="246" customFormat="1" ht="14.25" customHeight="1">
      <c r="A93" s="243">
        <v>710</v>
      </c>
      <c r="B93" s="244"/>
      <c r="C93" s="79"/>
      <c r="D93" s="211" t="s">
        <v>4</v>
      </c>
      <c r="E93" s="72">
        <f>E97+E95</f>
        <v>4817</v>
      </c>
      <c r="F93" s="175">
        <f>F97+F95</f>
        <v>25045.9</v>
      </c>
      <c r="G93" s="175">
        <f>G97+G95</f>
        <v>25045.9</v>
      </c>
      <c r="H93" s="175">
        <f>H97+H95</f>
        <v>0</v>
      </c>
      <c r="I93" s="54">
        <f>SUM(F93/E93)</f>
        <v>5.1995</v>
      </c>
      <c r="J93" s="245"/>
      <c r="K93" s="245"/>
    </row>
    <row r="94" spans="1:11" s="246" customFormat="1" ht="14.25" customHeight="1">
      <c r="A94" s="243"/>
      <c r="B94" s="20"/>
      <c r="C94" s="20"/>
      <c r="D94" s="247"/>
      <c r="E94" s="210"/>
      <c r="F94" s="209"/>
      <c r="G94" s="193"/>
      <c r="H94" s="192"/>
      <c r="I94" s="99"/>
      <c r="J94" s="245"/>
      <c r="K94" s="245"/>
    </row>
    <row r="95" spans="1:11" s="246" customFormat="1" ht="31.5" customHeight="1">
      <c r="A95" s="243"/>
      <c r="B95" s="20">
        <v>71004</v>
      </c>
      <c r="C95" s="21"/>
      <c r="D95" s="211" t="s">
        <v>56</v>
      </c>
      <c r="E95" s="72">
        <f>SUM(E96:E96)</f>
        <v>4817</v>
      </c>
      <c r="F95" s="175">
        <f>SUM(F96:F96)</f>
        <v>4816.56</v>
      </c>
      <c r="G95" s="38">
        <f>SUM(G96:G96)</f>
        <v>4816.56</v>
      </c>
      <c r="H95" s="175">
        <f>SUM(H96:H96)</f>
        <v>0</v>
      </c>
      <c r="I95" s="54">
        <f>SUM(F95/E95)</f>
        <v>0.9999</v>
      </c>
      <c r="J95" s="245"/>
      <c r="K95" s="245"/>
    </row>
    <row r="96" spans="1:11" s="246" customFormat="1" ht="31.5" customHeight="1">
      <c r="A96" s="298"/>
      <c r="B96" s="21"/>
      <c r="C96" s="81" t="s">
        <v>179</v>
      </c>
      <c r="D96" s="70" t="s">
        <v>201</v>
      </c>
      <c r="E96" s="266">
        <v>4817</v>
      </c>
      <c r="F96" s="299">
        <f>SUM(G96:H96)</f>
        <v>4816.56</v>
      </c>
      <c r="G96" s="290">
        <v>4816.56</v>
      </c>
      <c r="H96" s="291"/>
      <c r="I96" s="65">
        <f>SUM(F96/E96)</f>
        <v>0.9999</v>
      </c>
      <c r="J96" s="245"/>
      <c r="K96" s="245"/>
    </row>
    <row r="97" spans="1:11" s="246" customFormat="1" ht="31.5" customHeight="1">
      <c r="A97" s="243"/>
      <c r="B97" s="20">
        <v>71095</v>
      </c>
      <c r="C97" s="21"/>
      <c r="D97" s="211" t="s">
        <v>68</v>
      </c>
      <c r="E97" s="72">
        <f>SUM(E98)</f>
        <v>0</v>
      </c>
      <c r="F97" s="175">
        <f>SUM(F98:F99)</f>
        <v>20229.34</v>
      </c>
      <c r="G97" s="175">
        <f>SUM(G98:G99)</f>
        <v>20229.34</v>
      </c>
      <c r="H97" s="175">
        <f>SUM(H98:H99)</f>
        <v>0</v>
      </c>
      <c r="I97" s="54"/>
      <c r="J97" s="245"/>
      <c r="K97" s="245"/>
    </row>
    <row r="98" spans="1:11" s="246" customFormat="1" ht="31.5" customHeight="1">
      <c r="A98" s="243"/>
      <c r="B98" s="20"/>
      <c r="C98" s="81" t="s">
        <v>179</v>
      </c>
      <c r="D98" s="66" t="s">
        <v>180</v>
      </c>
      <c r="E98" s="266">
        <v>0</v>
      </c>
      <c r="F98" s="299">
        <f>G98+H98</f>
        <v>284.13</v>
      </c>
      <c r="G98" s="290">
        <v>284.13</v>
      </c>
      <c r="H98" s="291"/>
      <c r="I98" s="65"/>
      <c r="J98" s="245"/>
      <c r="K98" s="245"/>
    </row>
    <row r="99" spans="1:11" s="246" customFormat="1" ht="31.5" customHeight="1" thickBot="1">
      <c r="A99" s="248"/>
      <c r="B99" s="104"/>
      <c r="C99" s="95" t="s">
        <v>202</v>
      </c>
      <c r="D99" s="300" t="s">
        <v>203</v>
      </c>
      <c r="E99" s="249">
        <v>0</v>
      </c>
      <c r="F99" s="251">
        <f>G99+H99</f>
        <v>19945.21</v>
      </c>
      <c r="G99" s="251">
        <v>19945.21</v>
      </c>
      <c r="H99" s="251"/>
      <c r="I99" s="68"/>
      <c r="J99" s="245"/>
      <c r="K99" s="245"/>
    </row>
    <row r="100" spans="1:11" s="246" customFormat="1" ht="30.75" customHeight="1" hidden="1" thickBot="1">
      <c r="A100" s="301"/>
      <c r="B100" s="104"/>
      <c r="C100" s="95" t="s">
        <v>127</v>
      </c>
      <c r="D100" s="57" t="s">
        <v>156</v>
      </c>
      <c r="E100" s="302">
        <v>0</v>
      </c>
      <c r="F100" s="303">
        <f>SUM(G100:H100)</f>
        <v>0</v>
      </c>
      <c r="G100" s="303"/>
      <c r="H100" s="304"/>
      <c r="I100" s="68" t="e">
        <f>SUM(F100/E100)</f>
        <v>#DIV/0!</v>
      </c>
      <c r="J100" s="245"/>
      <c r="K100" s="245"/>
    </row>
    <row r="101" spans="1:11" s="246" customFormat="1" ht="14.25" customHeight="1" thickTop="1">
      <c r="A101" s="243"/>
      <c r="B101" s="20"/>
      <c r="C101" s="77"/>
      <c r="D101" s="78"/>
      <c r="E101" s="210"/>
      <c r="F101" s="209"/>
      <c r="G101" s="193"/>
      <c r="H101" s="192"/>
      <c r="I101" s="82"/>
      <c r="J101" s="245"/>
      <c r="K101" s="245"/>
    </row>
    <row r="102" spans="1:11" s="246" customFormat="1" ht="14.25" customHeight="1">
      <c r="A102" s="243">
        <v>750</v>
      </c>
      <c r="B102" s="244"/>
      <c r="C102" s="79"/>
      <c r="D102" s="211" t="s">
        <v>269</v>
      </c>
      <c r="E102" s="72">
        <f>SUM(E104+E107+E111+E115)</f>
        <v>567375</v>
      </c>
      <c r="F102" s="175">
        <f>SUM(F104+F107+F111+F115)</f>
        <v>259424.76</v>
      </c>
      <c r="G102" s="38">
        <f>SUM(G104+G107+G111+G115)</f>
        <v>259424.76</v>
      </c>
      <c r="H102" s="175">
        <f>SUM(H104+H107+H111+H115)</f>
        <v>0</v>
      </c>
      <c r="I102" s="54">
        <f>SUM(F102/E102)</f>
        <v>0.4572</v>
      </c>
      <c r="J102" s="245"/>
      <c r="K102" s="245"/>
    </row>
    <row r="103" spans="1:11" s="246" customFormat="1" ht="14.25" customHeight="1">
      <c r="A103" s="243"/>
      <c r="B103" s="20"/>
      <c r="C103" s="20"/>
      <c r="D103" s="247"/>
      <c r="E103" s="210"/>
      <c r="F103" s="209"/>
      <c r="G103" s="193"/>
      <c r="H103" s="192"/>
      <c r="I103" s="99"/>
      <c r="J103" s="245"/>
      <c r="K103" s="245"/>
    </row>
    <row r="104" spans="1:11" s="246" customFormat="1" ht="20.25" customHeight="1">
      <c r="A104" s="243"/>
      <c r="B104" s="20">
        <v>75011</v>
      </c>
      <c r="C104" s="21"/>
      <c r="D104" s="211" t="s">
        <v>99</v>
      </c>
      <c r="E104" s="72">
        <f>SUM(E105:E105)</f>
        <v>12500</v>
      </c>
      <c r="F104" s="175">
        <f>SUM(F105:F105)</f>
        <v>5538.56</v>
      </c>
      <c r="G104" s="175">
        <f>SUM(G105:G105)</f>
        <v>5538.56</v>
      </c>
      <c r="H104" s="175">
        <f>SUM(H105:H105)</f>
        <v>0</v>
      </c>
      <c r="I104" s="54">
        <f>SUM(F104/E104)</f>
        <v>0.4431</v>
      </c>
      <c r="J104" s="245"/>
      <c r="K104" s="245"/>
    </row>
    <row r="105" spans="1:11" s="246" customFormat="1" ht="31.5" customHeight="1">
      <c r="A105" s="243"/>
      <c r="B105" s="21"/>
      <c r="C105" s="81" t="s">
        <v>85</v>
      </c>
      <c r="D105" s="70" t="s">
        <v>86</v>
      </c>
      <c r="E105" s="266">
        <v>12500</v>
      </c>
      <c r="F105" s="299">
        <f>SUM(G105:H105)</f>
        <v>5538.56</v>
      </c>
      <c r="G105" s="290">
        <v>5538.56</v>
      </c>
      <c r="H105" s="291"/>
      <c r="I105" s="65">
        <f>SUM(F105/E105)</f>
        <v>0.4431</v>
      </c>
      <c r="J105" s="245"/>
      <c r="K105" s="245"/>
    </row>
    <row r="106" spans="1:11" s="246" customFormat="1" ht="12.75">
      <c r="A106" s="243"/>
      <c r="B106" s="20"/>
      <c r="C106" s="83"/>
      <c r="D106" s="78"/>
      <c r="E106" s="210"/>
      <c r="F106" s="252"/>
      <c r="G106" s="305"/>
      <c r="H106" s="284"/>
      <c r="I106" s="99"/>
      <c r="J106" s="245"/>
      <c r="K106" s="245"/>
    </row>
    <row r="107" spans="1:11" s="246" customFormat="1" ht="22.5" customHeight="1">
      <c r="A107" s="243"/>
      <c r="B107" s="20">
        <v>75023</v>
      </c>
      <c r="C107" s="84"/>
      <c r="D107" s="70" t="s">
        <v>187</v>
      </c>
      <c r="E107" s="72">
        <f>SUM(E108:E109)</f>
        <v>14000</v>
      </c>
      <c r="F107" s="175">
        <f>SUM(F108:F109)</f>
        <v>11241.89</v>
      </c>
      <c r="G107" s="175">
        <f>SUM(G108:G109)</f>
        <v>11241.89</v>
      </c>
      <c r="H107" s="175">
        <f>SUM(H108:H109)</f>
        <v>0</v>
      </c>
      <c r="I107" s="54">
        <f>SUM(F107/E107)</f>
        <v>0.803</v>
      </c>
      <c r="J107" s="245"/>
      <c r="K107" s="245"/>
    </row>
    <row r="108" spans="1:11" s="246" customFormat="1" ht="25.5" customHeight="1">
      <c r="A108" s="243"/>
      <c r="B108" s="20"/>
      <c r="C108" s="81" t="s">
        <v>179</v>
      </c>
      <c r="D108" s="66" t="s">
        <v>180</v>
      </c>
      <c r="E108" s="266">
        <v>0</v>
      </c>
      <c r="F108" s="299">
        <f>SUM(G108:H108)</f>
        <v>153.2</v>
      </c>
      <c r="G108" s="290">
        <v>153.2</v>
      </c>
      <c r="H108" s="291"/>
      <c r="I108" s="65"/>
      <c r="J108" s="245"/>
      <c r="K108" s="245"/>
    </row>
    <row r="109" spans="1:11" s="246" customFormat="1" ht="25.5" customHeight="1">
      <c r="A109" s="243"/>
      <c r="B109" s="21"/>
      <c r="C109" s="86" t="s">
        <v>127</v>
      </c>
      <c r="D109" s="70" t="s">
        <v>156</v>
      </c>
      <c r="E109" s="266">
        <v>14000</v>
      </c>
      <c r="F109" s="299">
        <f>SUM(G109:H109)</f>
        <v>11088.69</v>
      </c>
      <c r="G109" s="290">
        <v>11088.69</v>
      </c>
      <c r="H109" s="291"/>
      <c r="I109" s="65">
        <f>SUM(F109/E109)</f>
        <v>0.792</v>
      </c>
      <c r="J109" s="245"/>
      <c r="K109" s="245"/>
    </row>
    <row r="110" spans="1:11" s="246" customFormat="1" ht="12.75">
      <c r="A110" s="243"/>
      <c r="B110" s="20"/>
      <c r="C110" s="306"/>
      <c r="D110" s="87"/>
      <c r="E110" s="210"/>
      <c r="F110" s="209"/>
      <c r="G110" s="197"/>
      <c r="H110" s="196"/>
      <c r="I110" s="99"/>
      <c r="J110" s="245"/>
      <c r="K110" s="245"/>
    </row>
    <row r="111" spans="1:11" s="246" customFormat="1" ht="14.25" customHeight="1">
      <c r="A111" s="243"/>
      <c r="B111" s="20">
        <v>75075</v>
      </c>
      <c r="C111" s="21"/>
      <c r="D111" s="211" t="s">
        <v>111</v>
      </c>
      <c r="E111" s="72">
        <f>SUM(E112:E113)</f>
        <v>199693</v>
      </c>
      <c r="F111" s="175">
        <f>SUM(F112:F113)</f>
        <v>177834.08</v>
      </c>
      <c r="G111" s="175">
        <f>SUM(G112:G113)</f>
        <v>177834.08</v>
      </c>
      <c r="H111" s="175">
        <f>SUM(H112:H113)</f>
        <v>0</v>
      </c>
      <c r="I111" s="54">
        <f>SUM(F111/E111)</f>
        <v>0.8905</v>
      </c>
      <c r="J111" s="245"/>
      <c r="K111" s="245"/>
    </row>
    <row r="112" spans="1:11" s="246" customFormat="1" ht="41.25" customHeight="1">
      <c r="A112" s="243"/>
      <c r="B112" s="20"/>
      <c r="C112" s="74" t="s">
        <v>9</v>
      </c>
      <c r="D112" s="66" t="s">
        <v>258</v>
      </c>
      <c r="E112" s="266">
        <v>192979</v>
      </c>
      <c r="F112" s="299">
        <f>SUM(G112:H112)</f>
        <v>171120.1</v>
      </c>
      <c r="G112" s="290">
        <v>171120.1</v>
      </c>
      <c r="H112" s="290"/>
      <c r="I112" s="65">
        <f>SUM(F112/E112)</f>
        <v>0.8867</v>
      </c>
      <c r="J112" s="245"/>
      <c r="K112" s="245"/>
    </row>
    <row r="113" spans="1:11" s="246" customFormat="1" ht="46.5" customHeight="1">
      <c r="A113" s="243"/>
      <c r="B113" s="21"/>
      <c r="C113" s="74" t="s">
        <v>35</v>
      </c>
      <c r="D113" s="66" t="s">
        <v>258</v>
      </c>
      <c r="E113" s="293">
        <v>6714</v>
      </c>
      <c r="F113" s="212">
        <v>6713.98</v>
      </c>
      <c r="G113" s="193">
        <v>6713.98</v>
      </c>
      <c r="H113" s="192"/>
      <c r="I113" s="65">
        <f>SUM(F113/E113)</f>
        <v>1</v>
      </c>
      <c r="J113" s="245"/>
      <c r="K113" s="245"/>
    </row>
    <row r="114" spans="1:11" s="246" customFormat="1" ht="14.25" customHeight="1">
      <c r="A114" s="243"/>
      <c r="B114" s="20"/>
      <c r="C114" s="20"/>
      <c r="D114" s="247"/>
      <c r="E114" s="208"/>
      <c r="F114" s="307"/>
      <c r="G114" s="253"/>
      <c r="H114" s="254"/>
      <c r="I114" s="99"/>
      <c r="J114" s="245"/>
      <c r="K114" s="245"/>
    </row>
    <row r="115" spans="1:11" s="246" customFormat="1" ht="14.25" customHeight="1">
      <c r="A115" s="243"/>
      <c r="B115" s="20">
        <v>75095</v>
      </c>
      <c r="C115" s="21"/>
      <c r="D115" s="211" t="s">
        <v>68</v>
      </c>
      <c r="E115" s="72">
        <f>SUM(E116:E120)</f>
        <v>341182</v>
      </c>
      <c r="F115" s="175">
        <f>SUM(F116:F120)</f>
        <v>64810.23</v>
      </c>
      <c r="G115" s="175">
        <f>SUM(G116:G120)</f>
        <v>64810.23</v>
      </c>
      <c r="H115" s="175">
        <f>SUM(H116:H120)</f>
        <v>0</v>
      </c>
      <c r="I115" s="54">
        <f aca="true" t="shared" si="2" ref="I115:I120">SUM(F115/E115)</f>
        <v>0.19</v>
      </c>
      <c r="J115" s="245"/>
      <c r="K115" s="245"/>
    </row>
    <row r="116" spans="1:11" s="246" customFormat="1" ht="31.5" customHeight="1">
      <c r="A116" s="243"/>
      <c r="B116" s="20"/>
      <c r="C116" s="86" t="s">
        <v>129</v>
      </c>
      <c r="D116" s="70" t="s">
        <v>158</v>
      </c>
      <c r="E116" s="266">
        <v>43</v>
      </c>
      <c r="F116" s="299">
        <f>SUM(G116:H116)</f>
        <v>61.4</v>
      </c>
      <c r="G116" s="290">
        <v>61.4</v>
      </c>
      <c r="H116" s="291"/>
      <c r="I116" s="65">
        <f t="shared" si="2"/>
        <v>1.4279</v>
      </c>
      <c r="J116" s="245"/>
      <c r="K116" s="245"/>
    </row>
    <row r="117" spans="1:11" s="246" customFormat="1" ht="31.5" customHeight="1">
      <c r="A117" s="243"/>
      <c r="B117" s="20"/>
      <c r="C117" s="86" t="s">
        <v>126</v>
      </c>
      <c r="D117" s="70" t="s">
        <v>163</v>
      </c>
      <c r="E117" s="266">
        <v>0</v>
      </c>
      <c r="F117" s="299">
        <f>SUM(G117:H117)</f>
        <v>20.55</v>
      </c>
      <c r="G117" s="290">
        <v>20.55</v>
      </c>
      <c r="H117" s="291"/>
      <c r="I117" s="65"/>
      <c r="J117" s="245"/>
      <c r="K117" s="245"/>
    </row>
    <row r="118" spans="1:11" s="246" customFormat="1" ht="31.5" customHeight="1">
      <c r="A118" s="243"/>
      <c r="B118" s="20"/>
      <c r="C118" s="23" t="s">
        <v>127</v>
      </c>
      <c r="D118" s="66" t="s">
        <v>156</v>
      </c>
      <c r="E118" s="73">
        <v>0</v>
      </c>
      <c r="F118" s="299">
        <f>SUM(G118:H118)</f>
        <v>137.49</v>
      </c>
      <c r="G118" s="308">
        <v>137.49</v>
      </c>
      <c r="H118" s="309"/>
      <c r="I118" s="65"/>
      <c r="J118" s="245"/>
      <c r="K118" s="245"/>
    </row>
    <row r="119" spans="1:11" s="246" customFormat="1" ht="31.5" customHeight="1">
      <c r="A119" s="243"/>
      <c r="B119" s="20"/>
      <c r="C119" s="103" t="s">
        <v>8</v>
      </c>
      <c r="D119" s="66" t="s">
        <v>156</v>
      </c>
      <c r="E119" s="72">
        <v>0</v>
      </c>
      <c r="F119" s="299">
        <f>SUM(G119:H119)</f>
        <v>3503.5</v>
      </c>
      <c r="G119" s="38">
        <v>3503.5</v>
      </c>
      <c r="H119" s="38"/>
      <c r="I119" s="82"/>
      <c r="J119" s="245"/>
      <c r="K119" s="245"/>
    </row>
    <row r="120" spans="1:11" s="246" customFormat="1" ht="39" thickBot="1">
      <c r="A120" s="532"/>
      <c r="B120" s="405"/>
      <c r="C120" s="89" t="s">
        <v>9</v>
      </c>
      <c r="D120" s="126" t="s">
        <v>258</v>
      </c>
      <c r="E120" s="542">
        <v>341139</v>
      </c>
      <c r="F120" s="543">
        <f>SUM(G120:H120)</f>
        <v>61087.29</v>
      </c>
      <c r="G120" s="544">
        <v>61087.29</v>
      </c>
      <c r="H120" s="545"/>
      <c r="I120" s="91">
        <f t="shared" si="2"/>
        <v>0.1791</v>
      </c>
      <c r="J120" s="245"/>
      <c r="K120" s="245"/>
    </row>
    <row r="121" spans="1:11" s="172" customFormat="1" ht="14.25" customHeight="1">
      <c r="A121" s="546">
        <v>1</v>
      </c>
      <c r="B121" s="92">
        <v>2</v>
      </c>
      <c r="C121" s="92">
        <v>3</v>
      </c>
      <c r="D121" s="92">
        <v>4</v>
      </c>
      <c r="E121" s="547">
        <v>5</v>
      </c>
      <c r="F121" s="539">
        <v>6</v>
      </c>
      <c r="G121" s="539">
        <v>7</v>
      </c>
      <c r="H121" s="548">
        <v>8</v>
      </c>
      <c r="I121" s="541">
        <v>9</v>
      </c>
      <c r="J121" s="171"/>
      <c r="K121" s="171"/>
    </row>
    <row r="122" spans="1:11" s="246" customFormat="1" ht="18" customHeight="1">
      <c r="A122" s="243">
        <v>754</v>
      </c>
      <c r="B122" s="310"/>
      <c r="C122" s="20"/>
      <c r="D122" s="247" t="s">
        <v>69</v>
      </c>
      <c r="E122" s="311"/>
      <c r="F122" s="312"/>
      <c r="G122" s="313"/>
      <c r="H122" s="312"/>
      <c r="I122" s="47"/>
      <c r="J122" s="245"/>
      <c r="K122" s="245"/>
    </row>
    <row r="123" spans="1:11" s="246" customFormat="1" ht="18.75" customHeight="1">
      <c r="A123" s="243"/>
      <c r="B123" s="244"/>
      <c r="C123" s="21"/>
      <c r="D123" s="211" t="s">
        <v>70</v>
      </c>
      <c r="E123" s="38">
        <f>SUM(E129+E132)+E125</f>
        <v>46938</v>
      </c>
      <c r="F123" s="38">
        <f>SUM(F129+F132)+F125</f>
        <v>38775.28</v>
      </c>
      <c r="G123" s="38">
        <f>SUM(G129+G132)+G125</f>
        <v>30275.28</v>
      </c>
      <c r="H123" s="38">
        <f>SUM(H129+H132)+H125</f>
        <v>8500</v>
      </c>
      <c r="I123" s="54">
        <f>SUM(F123/E123)</f>
        <v>0.8261</v>
      </c>
      <c r="J123" s="245"/>
      <c r="K123" s="245"/>
    </row>
    <row r="124" spans="1:11" s="246" customFormat="1" ht="14.25" customHeight="1">
      <c r="A124" s="243"/>
      <c r="B124" s="20"/>
      <c r="C124" s="20"/>
      <c r="D124" s="247"/>
      <c r="E124" s="210"/>
      <c r="F124" s="252"/>
      <c r="G124" s="283"/>
      <c r="H124" s="252"/>
      <c r="I124" s="99"/>
      <c r="J124" s="245"/>
      <c r="K124" s="245"/>
    </row>
    <row r="125" spans="1:11" s="246" customFormat="1" ht="14.25" customHeight="1">
      <c r="A125" s="243"/>
      <c r="B125" s="20">
        <v>75405</v>
      </c>
      <c r="C125" s="21"/>
      <c r="D125" s="211" t="s">
        <v>185</v>
      </c>
      <c r="E125" s="175">
        <f>SUM(E126+E127)</f>
        <v>10000</v>
      </c>
      <c r="F125" s="175">
        <f>SUM(F126+F127)</f>
        <v>10000</v>
      </c>
      <c r="G125" s="175">
        <f>SUM(G126+G127)</f>
        <v>1500</v>
      </c>
      <c r="H125" s="175">
        <f>SUM(H126+H127)</f>
        <v>8500</v>
      </c>
      <c r="I125" s="54">
        <f>SUM(F125/E125)</f>
        <v>1</v>
      </c>
      <c r="J125" s="245"/>
      <c r="K125" s="245"/>
    </row>
    <row r="126" spans="1:11" s="246" customFormat="1" ht="38.25">
      <c r="A126" s="298"/>
      <c r="B126" s="20"/>
      <c r="C126" s="22">
        <v>2700</v>
      </c>
      <c r="D126" s="66" t="s">
        <v>258</v>
      </c>
      <c r="E126" s="73">
        <v>1500</v>
      </c>
      <c r="F126" s="309">
        <f>SUM(G126:H126)</f>
        <v>1500</v>
      </c>
      <c r="G126" s="290">
        <v>1500</v>
      </c>
      <c r="H126" s="291"/>
      <c r="I126" s="65">
        <f>SUM(F126/E126)</f>
        <v>1</v>
      </c>
      <c r="J126" s="245"/>
      <c r="K126" s="245"/>
    </row>
    <row r="127" spans="1:11" s="246" customFormat="1" ht="37.5" customHeight="1">
      <c r="A127" s="243"/>
      <c r="B127" s="21"/>
      <c r="C127" s="21">
        <v>6290</v>
      </c>
      <c r="D127" s="70" t="s">
        <v>6</v>
      </c>
      <c r="E127" s="72">
        <v>8500</v>
      </c>
      <c r="F127" s="175">
        <f>SUM(G127:H127)</f>
        <v>8500</v>
      </c>
      <c r="G127" s="267"/>
      <c r="H127" s="268">
        <v>8500</v>
      </c>
      <c r="I127" s="54">
        <f>SUM(F127/E127)</f>
        <v>1</v>
      </c>
      <c r="J127" s="245"/>
      <c r="K127" s="245"/>
    </row>
    <row r="128" spans="1:11" s="246" customFormat="1" ht="14.25" customHeight="1" hidden="1">
      <c r="A128" s="243"/>
      <c r="B128" s="20"/>
      <c r="C128" s="20"/>
      <c r="D128" s="247"/>
      <c r="E128" s="210"/>
      <c r="F128" s="252"/>
      <c r="G128" s="283"/>
      <c r="H128" s="252"/>
      <c r="I128" s="99"/>
      <c r="J128" s="245"/>
      <c r="K128" s="245"/>
    </row>
    <row r="129" spans="1:11" s="246" customFormat="1" ht="14.25" customHeight="1" hidden="1" thickBot="1">
      <c r="A129" s="243"/>
      <c r="B129" s="20">
        <v>75412</v>
      </c>
      <c r="C129" s="21"/>
      <c r="D129" s="211" t="s">
        <v>80</v>
      </c>
      <c r="E129" s="72">
        <f>SUM(E130)</f>
        <v>0</v>
      </c>
      <c r="F129" s="175">
        <f>F130</f>
        <v>0</v>
      </c>
      <c r="G129" s="38">
        <f>SUM(G130)</f>
        <v>0</v>
      </c>
      <c r="H129" s="175">
        <f>SUM(H130)</f>
        <v>0</v>
      </c>
      <c r="I129" s="54"/>
      <c r="J129" s="245"/>
      <c r="K129" s="245"/>
    </row>
    <row r="130" spans="1:11" s="246" customFormat="1" ht="25.5" hidden="1">
      <c r="A130" s="243"/>
      <c r="B130" s="21"/>
      <c r="C130" s="21">
        <v>6298</v>
      </c>
      <c r="D130" s="70" t="s">
        <v>6</v>
      </c>
      <c r="E130" s="72">
        <v>0</v>
      </c>
      <c r="F130" s="175">
        <f>SUM(G130:H130)</f>
        <v>0</v>
      </c>
      <c r="G130" s="314"/>
      <c r="H130" s="291">
        <v>0</v>
      </c>
      <c r="I130" s="65"/>
      <c r="J130" s="245"/>
      <c r="K130" s="245"/>
    </row>
    <row r="131" spans="1:11" s="246" customFormat="1" ht="14.25" customHeight="1">
      <c r="A131" s="243"/>
      <c r="B131" s="20"/>
      <c r="C131" s="20"/>
      <c r="D131" s="247"/>
      <c r="E131" s="210"/>
      <c r="F131" s="252"/>
      <c r="G131" s="283"/>
      <c r="H131" s="252"/>
      <c r="I131" s="99"/>
      <c r="J131" s="245"/>
      <c r="K131" s="245"/>
    </row>
    <row r="132" spans="1:11" s="246" customFormat="1" ht="14.25" customHeight="1">
      <c r="A132" s="243"/>
      <c r="B132" s="20">
        <v>75416</v>
      </c>
      <c r="C132" s="20"/>
      <c r="D132" s="247" t="s">
        <v>71</v>
      </c>
      <c r="E132" s="210">
        <f>SUM(E133:E134)</f>
        <v>36938</v>
      </c>
      <c r="F132" s="209">
        <f>SUM(F133:F134)</f>
        <v>28775.28</v>
      </c>
      <c r="G132" s="209">
        <f>SUM(G133:G134)</f>
        <v>28775.28</v>
      </c>
      <c r="H132" s="209">
        <f>SUM(H133:H134)</f>
        <v>0</v>
      </c>
      <c r="I132" s="82">
        <f>SUM(F132/E132)</f>
        <v>0.779</v>
      </c>
      <c r="J132" s="245"/>
      <c r="K132" s="245"/>
    </row>
    <row r="133" spans="1:11" s="246" customFormat="1" ht="31.5" customHeight="1">
      <c r="A133" s="243"/>
      <c r="B133" s="20"/>
      <c r="C133" s="81" t="s">
        <v>130</v>
      </c>
      <c r="D133" s="66" t="s">
        <v>10</v>
      </c>
      <c r="E133" s="73">
        <v>35000</v>
      </c>
      <c r="F133" s="309">
        <f>SUM(G133:H133)</f>
        <v>26837</v>
      </c>
      <c r="G133" s="290">
        <v>26837</v>
      </c>
      <c r="H133" s="291"/>
      <c r="I133" s="65">
        <f>SUM(F133/E133)</f>
        <v>0.7668</v>
      </c>
      <c r="J133" s="245"/>
      <c r="K133" s="245"/>
    </row>
    <row r="134" spans="1:11" s="246" customFormat="1" ht="31.5" customHeight="1" thickBot="1">
      <c r="A134" s="248"/>
      <c r="B134" s="315"/>
      <c r="C134" s="93" t="s">
        <v>127</v>
      </c>
      <c r="D134" s="316" t="s">
        <v>156</v>
      </c>
      <c r="E134" s="317">
        <v>1938</v>
      </c>
      <c r="F134" s="318">
        <f>SUM(G134:H134)</f>
        <v>1938.28</v>
      </c>
      <c r="G134" s="318">
        <v>1938.28</v>
      </c>
      <c r="H134" s="318"/>
      <c r="I134" s="319">
        <f>SUM(F134/E134)</f>
        <v>1.0001</v>
      </c>
      <c r="J134" s="245"/>
      <c r="K134" s="245"/>
    </row>
    <row r="135" spans="1:11" s="246" customFormat="1" ht="16.5" customHeight="1" thickTop="1">
      <c r="A135" s="243">
        <v>756</v>
      </c>
      <c r="B135" s="310"/>
      <c r="C135" s="20"/>
      <c r="D135" s="247" t="s">
        <v>277</v>
      </c>
      <c r="E135" s="210"/>
      <c r="F135" s="252"/>
      <c r="G135" s="305"/>
      <c r="H135" s="284"/>
      <c r="I135" s="82"/>
      <c r="J135" s="245"/>
      <c r="K135" s="245"/>
    </row>
    <row r="136" spans="1:11" s="246" customFormat="1" ht="15" customHeight="1">
      <c r="A136" s="243"/>
      <c r="B136" s="310"/>
      <c r="C136" s="20"/>
      <c r="D136" s="247" t="s">
        <v>117</v>
      </c>
      <c r="E136" s="210"/>
      <c r="F136" s="252"/>
      <c r="G136" s="305"/>
      <c r="H136" s="284"/>
      <c r="I136" s="82"/>
      <c r="J136" s="245"/>
      <c r="K136" s="245"/>
    </row>
    <row r="137" spans="1:11" s="246" customFormat="1" ht="15.75" customHeight="1">
      <c r="A137" s="243"/>
      <c r="B137" s="310"/>
      <c r="C137" s="20"/>
      <c r="D137" s="247" t="s">
        <v>119</v>
      </c>
      <c r="E137" s="320"/>
      <c r="F137" s="252"/>
      <c r="G137" s="305"/>
      <c r="H137" s="284"/>
      <c r="I137" s="82"/>
      <c r="J137" s="245"/>
      <c r="K137" s="245"/>
    </row>
    <row r="138" spans="1:11" s="246" customFormat="1" ht="15" customHeight="1">
      <c r="A138" s="243"/>
      <c r="B138" s="310"/>
      <c r="C138" s="21"/>
      <c r="D138" s="211" t="s">
        <v>118</v>
      </c>
      <c r="E138" s="72">
        <f>SUM(E140+E145+E158+E172+E182)+E187</f>
        <v>60096705</v>
      </c>
      <c r="F138" s="175">
        <f>SUM(F140+F145+F158+F172+F182)+F187</f>
        <v>66648303.5</v>
      </c>
      <c r="G138" s="175">
        <f>SUM(G140+G145+G158+G172+G182)+G187</f>
        <v>66648303.5</v>
      </c>
      <c r="H138" s="175">
        <f>SUM(H140+H145+H158+H172+H182)+H187</f>
        <v>0</v>
      </c>
      <c r="I138" s="54">
        <f>SUM(F138/E138)</f>
        <v>1.109</v>
      </c>
      <c r="J138" s="245"/>
      <c r="K138" s="245"/>
    </row>
    <row r="139" spans="1:11" s="246" customFormat="1" ht="14.25" customHeight="1">
      <c r="A139" s="243"/>
      <c r="B139" s="270"/>
      <c r="C139" s="80"/>
      <c r="D139" s="247"/>
      <c r="E139" s="210"/>
      <c r="F139" s="252"/>
      <c r="G139" s="283"/>
      <c r="H139" s="252"/>
      <c r="I139" s="99"/>
      <c r="J139" s="245"/>
      <c r="K139" s="245"/>
    </row>
    <row r="140" spans="1:11" s="246" customFormat="1" ht="14.25" customHeight="1">
      <c r="A140" s="243"/>
      <c r="B140" s="20">
        <v>75601</v>
      </c>
      <c r="C140" s="79"/>
      <c r="D140" s="211" t="s">
        <v>121</v>
      </c>
      <c r="E140" s="72">
        <f>SUM(E141)+E142</f>
        <v>151966</v>
      </c>
      <c r="F140" s="175">
        <f>SUM(F141)+F142</f>
        <v>171680.08</v>
      </c>
      <c r="G140" s="175">
        <f>SUM(G141)+G142</f>
        <v>171680.08</v>
      </c>
      <c r="H140" s="175">
        <f>SUM(H141)+H142</f>
        <v>0</v>
      </c>
      <c r="I140" s="54">
        <f>SUM(F140/E140)</f>
        <v>1.1297</v>
      </c>
      <c r="J140" s="245"/>
      <c r="K140" s="245"/>
    </row>
    <row r="141" spans="1:15" s="246" customFormat="1" ht="33.75" customHeight="1">
      <c r="A141" s="243"/>
      <c r="B141" s="20"/>
      <c r="C141" s="96" t="s">
        <v>135</v>
      </c>
      <c r="D141" s="70" t="s">
        <v>168</v>
      </c>
      <c r="E141" s="72">
        <v>150000</v>
      </c>
      <c r="F141" s="175">
        <f>SUM(G141:H141)</f>
        <v>167785.41</v>
      </c>
      <c r="G141" s="267">
        <v>167785.41</v>
      </c>
      <c r="H141" s="268"/>
      <c r="I141" s="65">
        <f>SUM(F141/E141)</f>
        <v>1.1186</v>
      </c>
      <c r="J141" s="321"/>
      <c r="K141" s="321"/>
      <c r="L141" s="230"/>
      <c r="M141" s="230"/>
      <c r="N141" s="230"/>
      <c r="O141" s="230"/>
    </row>
    <row r="142" spans="1:15" s="246" customFormat="1" ht="30.75" customHeight="1">
      <c r="A142" s="243"/>
      <c r="B142" s="21"/>
      <c r="C142" s="96" t="s">
        <v>146</v>
      </c>
      <c r="D142" s="70" t="s">
        <v>174</v>
      </c>
      <c r="E142" s="72">
        <v>1966</v>
      </c>
      <c r="F142" s="38">
        <f>SUM(G142:H142)</f>
        <v>3894.67</v>
      </c>
      <c r="G142" s="267">
        <v>3894.67</v>
      </c>
      <c r="H142" s="267"/>
      <c r="I142" s="54">
        <f>SUM(F142/E142)</f>
        <v>1.981</v>
      </c>
      <c r="J142" s="321"/>
      <c r="K142" s="322"/>
      <c r="L142" s="230"/>
      <c r="M142" s="230"/>
      <c r="N142" s="230"/>
      <c r="O142" s="230"/>
    </row>
    <row r="143" spans="1:15" s="246" customFormat="1" ht="14.25" customHeight="1">
      <c r="A143" s="243"/>
      <c r="B143" s="20">
        <v>75615</v>
      </c>
      <c r="C143" s="97"/>
      <c r="D143" s="247" t="s">
        <v>21</v>
      </c>
      <c r="E143" s="210"/>
      <c r="F143" s="209"/>
      <c r="G143" s="193"/>
      <c r="H143" s="192"/>
      <c r="I143" s="82"/>
      <c r="J143" s="321"/>
      <c r="K143" s="322"/>
      <c r="L143" s="230"/>
      <c r="M143" s="230"/>
      <c r="N143" s="230"/>
      <c r="O143" s="230"/>
    </row>
    <row r="144" spans="1:15" s="246" customFormat="1" ht="14.25" customHeight="1">
      <c r="A144" s="243"/>
      <c r="B144" s="20"/>
      <c r="C144" s="97"/>
      <c r="D144" s="247" t="s">
        <v>22</v>
      </c>
      <c r="E144" s="210"/>
      <c r="F144" s="209"/>
      <c r="G144" s="193"/>
      <c r="H144" s="192"/>
      <c r="I144" s="82"/>
      <c r="J144" s="321"/>
      <c r="K144" s="322"/>
      <c r="L144" s="230"/>
      <c r="M144" s="230"/>
      <c r="N144" s="230"/>
      <c r="O144" s="230"/>
    </row>
    <row r="145" spans="1:15" s="246" customFormat="1" ht="14.25" customHeight="1">
      <c r="A145" s="243"/>
      <c r="B145" s="20"/>
      <c r="C145" s="85"/>
      <c r="D145" s="211" t="s">
        <v>108</v>
      </c>
      <c r="E145" s="72">
        <f>SUM(E146:E154)</f>
        <v>33787527</v>
      </c>
      <c r="F145" s="175">
        <f>SUM(F146:F154)</f>
        <v>35765213.59</v>
      </c>
      <c r="G145" s="38">
        <f>SUM(G146:G154)</f>
        <v>35765213.59</v>
      </c>
      <c r="H145" s="175">
        <f>SUM(H146:H154)</f>
        <v>0</v>
      </c>
      <c r="I145" s="54">
        <f aca="true" t="shared" si="3" ref="I145:I154">SUM(F145/E145)</f>
        <v>1.0585</v>
      </c>
      <c r="J145" s="321"/>
      <c r="K145" s="322"/>
      <c r="L145" s="230"/>
      <c r="M145" s="230"/>
      <c r="N145" s="230"/>
      <c r="O145" s="230"/>
    </row>
    <row r="146" spans="1:15" s="246" customFormat="1" ht="31.5" customHeight="1">
      <c r="A146" s="243"/>
      <c r="B146" s="20"/>
      <c r="C146" s="23" t="s">
        <v>131</v>
      </c>
      <c r="D146" s="66" t="s">
        <v>164</v>
      </c>
      <c r="E146" s="73">
        <v>32800000</v>
      </c>
      <c r="F146" s="308">
        <f aca="true" t="shared" si="4" ref="F146:F154">SUM(G146:H146)</f>
        <v>34782873.86</v>
      </c>
      <c r="G146" s="193">
        <v>34782873.86</v>
      </c>
      <c r="H146" s="192"/>
      <c r="I146" s="54">
        <f t="shared" si="3"/>
        <v>1.0605</v>
      </c>
      <c r="J146" s="321"/>
      <c r="K146" s="322"/>
      <c r="L146" s="230"/>
      <c r="M146" s="230"/>
      <c r="N146" s="230"/>
      <c r="O146" s="230"/>
    </row>
    <row r="147" spans="1:15" s="246" customFormat="1" ht="31.5" customHeight="1">
      <c r="A147" s="243"/>
      <c r="B147" s="20"/>
      <c r="C147" s="85" t="s">
        <v>132</v>
      </c>
      <c r="D147" s="70" t="s">
        <v>165</v>
      </c>
      <c r="E147" s="73">
        <v>48000</v>
      </c>
      <c r="F147" s="308">
        <f t="shared" si="4"/>
        <v>49849.8</v>
      </c>
      <c r="G147" s="290">
        <v>49849.8</v>
      </c>
      <c r="H147" s="291"/>
      <c r="I147" s="54">
        <f t="shared" si="3"/>
        <v>1.0385</v>
      </c>
      <c r="J147" s="321"/>
      <c r="K147" s="322"/>
      <c r="L147" s="230"/>
      <c r="M147" s="230"/>
      <c r="N147" s="230"/>
      <c r="O147" s="230"/>
    </row>
    <row r="148" spans="1:15" s="246" customFormat="1" ht="31.5" customHeight="1">
      <c r="A148" s="243"/>
      <c r="B148" s="20"/>
      <c r="C148" s="23" t="s">
        <v>133</v>
      </c>
      <c r="D148" s="66" t="s">
        <v>166</v>
      </c>
      <c r="E148" s="73">
        <v>190000</v>
      </c>
      <c r="F148" s="308">
        <f t="shared" si="4"/>
        <v>192580.8</v>
      </c>
      <c r="G148" s="193">
        <v>192580.8</v>
      </c>
      <c r="H148" s="192"/>
      <c r="I148" s="54">
        <f t="shared" si="3"/>
        <v>1.0136</v>
      </c>
      <c r="J148" s="321"/>
      <c r="K148" s="322"/>
      <c r="L148" s="230"/>
      <c r="M148" s="230"/>
      <c r="N148" s="230"/>
      <c r="O148" s="230"/>
    </row>
    <row r="149" spans="1:15" s="246" customFormat="1" ht="31.5" customHeight="1">
      <c r="A149" s="243"/>
      <c r="B149" s="20"/>
      <c r="C149" s="23" t="s">
        <v>134</v>
      </c>
      <c r="D149" s="66" t="s">
        <v>167</v>
      </c>
      <c r="E149" s="73">
        <v>170000</v>
      </c>
      <c r="F149" s="308">
        <f t="shared" si="4"/>
        <v>173921.5</v>
      </c>
      <c r="G149" s="290">
        <v>173921.5</v>
      </c>
      <c r="H149" s="291"/>
      <c r="I149" s="54">
        <f t="shared" si="3"/>
        <v>1.0231</v>
      </c>
      <c r="J149" s="321"/>
      <c r="K149" s="322"/>
      <c r="L149" s="230"/>
      <c r="M149" s="230"/>
      <c r="N149" s="230"/>
      <c r="O149" s="230"/>
    </row>
    <row r="150" spans="1:15" s="246" customFormat="1" ht="31.5" customHeight="1">
      <c r="A150" s="243"/>
      <c r="B150" s="20"/>
      <c r="C150" s="23" t="s">
        <v>144</v>
      </c>
      <c r="D150" s="66" t="s">
        <v>173</v>
      </c>
      <c r="E150" s="73">
        <v>16937</v>
      </c>
      <c r="F150" s="308">
        <f>SUM(G150:H150)</f>
        <v>48300</v>
      </c>
      <c r="G150" s="290">
        <v>48300</v>
      </c>
      <c r="H150" s="290"/>
      <c r="I150" s="54">
        <f>SUM(F150/E150)</f>
        <v>2.8517</v>
      </c>
      <c r="J150" s="321"/>
      <c r="K150" s="322"/>
      <c r="L150" s="230"/>
      <c r="M150" s="230"/>
      <c r="N150" s="230"/>
      <c r="O150" s="230"/>
    </row>
    <row r="151" spans="1:15" s="246" customFormat="1" ht="31.5" customHeight="1">
      <c r="A151" s="243"/>
      <c r="B151" s="20"/>
      <c r="C151" s="23" t="s">
        <v>129</v>
      </c>
      <c r="D151" s="66" t="s">
        <v>158</v>
      </c>
      <c r="E151" s="73">
        <v>1000</v>
      </c>
      <c r="F151" s="308">
        <f>SUM(G151:H151)</f>
        <v>1335.2</v>
      </c>
      <c r="G151" s="290">
        <v>1335.2</v>
      </c>
      <c r="H151" s="291"/>
      <c r="I151" s="54">
        <f>SUM(F151/E151)</f>
        <v>1.3352</v>
      </c>
      <c r="J151" s="321"/>
      <c r="K151" s="323"/>
      <c r="L151" s="230"/>
      <c r="M151" s="230"/>
      <c r="N151" s="230"/>
      <c r="O151" s="230"/>
    </row>
    <row r="152" spans="1:15" s="246" customFormat="1" ht="31.5" customHeight="1">
      <c r="A152" s="243"/>
      <c r="B152" s="20"/>
      <c r="C152" s="23" t="s">
        <v>146</v>
      </c>
      <c r="D152" s="66" t="s">
        <v>174</v>
      </c>
      <c r="E152" s="73">
        <v>560000</v>
      </c>
      <c r="F152" s="308">
        <f t="shared" si="4"/>
        <v>514994.43</v>
      </c>
      <c r="G152" s="267">
        <v>514994.43</v>
      </c>
      <c r="H152" s="268"/>
      <c r="I152" s="54">
        <f t="shared" si="3"/>
        <v>0.9196</v>
      </c>
      <c r="J152" s="321"/>
      <c r="K152" s="322"/>
      <c r="L152" s="230"/>
      <c r="M152" s="230"/>
      <c r="N152" s="230"/>
      <c r="O152" s="230"/>
    </row>
    <row r="153" spans="1:15" s="246" customFormat="1" ht="31.5" customHeight="1">
      <c r="A153" s="243"/>
      <c r="B153" s="20"/>
      <c r="C153" s="23" t="s">
        <v>127</v>
      </c>
      <c r="D153" s="66" t="s">
        <v>156</v>
      </c>
      <c r="E153" s="73">
        <v>1000</v>
      </c>
      <c r="F153" s="308">
        <f t="shared" si="4"/>
        <v>398</v>
      </c>
      <c r="G153" s="290">
        <v>398</v>
      </c>
      <c r="H153" s="291"/>
      <c r="I153" s="54">
        <f t="shared" si="3"/>
        <v>0.398</v>
      </c>
      <c r="J153" s="321"/>
      <c r="K153" s="322"/>
      <c r="L153" s="230"/>
      <c r="M153" s="230"/>
      <c r="N153" s="230"/>
      <c r="O153" s="230"/>
    </row>
    <row r="154" spans="1:15" s="246" customFormat="1" ht="31.5" customHeight="1" thickBot="1">
      <c r="A154" s="532"/>
      <c r="B154" s="405"/>
      <c r="C154" s="549" t="s">
        <v>14</v>
      </c>
      <c r="D154" s="126" t="s">
        <v>15</v>
      </c>
      <c r="E154" s="550">
        <v>590</v>
      </c>
      <c r="F154" s="551">
        <f t="shared" si="4"/>
        <v>960</v>
      </c>
      <c r="G154" s="544">
        <v>960</v>
      </c>
      <c r="H154" s="545"/>
      <c r="I154" s="91">
        <f t="shared" si="3"/>
        <v>1.6271</v>
      </c>
      <c r="J154" s="321"/>
      <c r="K154" s="322"/>
      <c r="L154" s="230"/>
      <c r="M154" s="230"/>
      <c r="N154" s="230"/>
      <c r="O154" s="230"/>
    </row>
    <row r="155" spans="1:11" s="172" customFormat="1" ht="14.25" customHeight="1">
      <c r="A155" s="546">
        <v>1</v>
      </c>
      <c r="B155" s="92">
        <v>2</v>
      </c>
      <c r="C155" s="92">
        <v>3</v>
      </c>
      <c r="D155" s="92">
        <v>4</v>
      </c>
      <c r="E155" s="547">
        <v>5</v>
      </c>
      <c r="F155" s="548">
        <v>6</v>
      </c>
      <c r="G155" s="539">
        <v>7</v>
      </c>
      <c r="H155" s="548">
        <v>8</v>
      </c>
      <c r="I155" s="541">
        <v>9</v>
      </c>
      <c r="J155" s="171"/>
      <c r="K155" s="171"/>
    </row>
    <row r="156" spans="1:15" s="246" customFormat="1" ht="14.25" customHeight="1">
      <c r="A156" s="243"/>
      <c r="B156" s="20">
        <v>75616</v>
      </c>
      <c r="C156" s="97"/>
      <c r="D156" s="247" t="s">
        <v>36</v>
      </c>
      <c r="E156" s="324"/>
      <c r="F156" s="325"/>
      <c r="G156" s="313"/>
      <c r="H156" s="312"/>
      <c r="I156" s="47"/>
      <c r="J156" s="321"/>
      <c r="K156" s="322"/>
      <c r="L156" s="230"/>
      <c r="M156" s="230"/>
      <c r="N156" s="230"/>
      <c r="O156" s="230"/>
    </row>
    <row r="157" spans="1:15" s="246" customFormat="1" ht="14.25" customHeight="1">
      <c r="A157" s="243"/>
      <c r="B157" s="20"/>
      <c r="C157" s="97"/>
      <c r="D157" s="247" t="s">
        <v>23</v>
      </c>
      <c r="E157" s="210"/>
      <c r="F157" s="252"/>
      <c r="G157" s="305"/>
      <c r="H157" s="284"/>
      <c r="I157" s="82"/>
      <c r="J157" s="321"/>
      <c r="K157" s="322"/>
      <c r="L157" s="230"/>
      <c r="M157" s="230"/>
      <c r="N157" s="230"/>
      <c r="O157" s="230"/>
    </row>
    <row r="158" spans="1:15" s="246" customFormat="1" ht="12.75">
      <c r="A158" s="243"/>
      <c r="B158" s="20"/>
      <c r="C158" s="85"/>
      <c r="D158" s="211" t="s">
        <v>24</v>
      </c>
      <c r="E158" s="72">
        <f>SUM(E159:E160,E161:E170)</f>
        <v>3959306</v>
      </c>
      <c r="F158" s="175">
        <f>SUM(F159:F170)</f>
        <v>5745875.85</v>
      </c>
      <c r="G158" s="175">
        <f>SUM(G159:G160,G161:G170)</f>
        <v>5745875.85</v>
      </c>
      <c r="H158" s="175">
        <f>SUM(H159:H160,H161:H170)</f>
        <v>0</v>
      </c>
      <c r="I158" s="54">
        <f aca="true" t="shared" si="5" ref="I158:I170">SUM(F158/E158)</f>
        <v>1.4512</v>
      </c>
      <c r="J158" s="321"/>
      <c r="K158" s="322"/>
      <c r="L158" s="230"/>
      <c r="M158" s="230"/>
      <c r="N158" s="230"/>
      <c r="O158" s="230"/>
    </row>
    <row r="159" spans="1:15" s="246" customFormat="1" ht="31.5" customHeight="1">
      <c r="A159" s="243"/>
      <c r="B159" s="20"/>
      <c r="C159" s="23" t="s">
        <v>131</v>
      </c>
      <c r="D159" s="66" t="s">
        <v>164</v>
      </c>
      <c r="E159" s="73">
        <v>2100000</v>
      </c>
      <c r="F159" s="308">
        <f aca="true" t="shared" si="6" ref="F159:F170">SUM(G159:H159)</f>
        <v>2820315.77</v>
      </c>
      <c r="G159" s="197">
        <v>2820315.77</v>
      </c>
      <c r="H159" s="196"/>
      <c r="I159" s="65">
        <f t="shared" si="5"/>
        <v>1.343</v>
      </c>
      <c r="J159" s="321"/>
      <c r="K159" s="322"/>
      <c r="L159" s="230"/>
      <c r="M159" s="230"/>
      <c r="N159" s="230"/>
      <c r="O159" s="230"/>
    </row>
    <row r="160" spans="1:15" s="246" customFormat="1" ht="31.5" customHeight="1">
      <c r="A160" s="243"/>
      <c r="B160" s="20"/>
      <c r="C160" s="23" t="s">
        <v>132</v>
      </c>
      <c r="D160" s="66" t="s">
        <v>165</v>
      </c>
      <c r="E160" s="73">
        <v>226000</v>
      </c>
      <c r="F160" s="308">
        <f t="shared" si="6"/>
        <v>228806.43</v>
      </c>
      <c r="G160" s="290">
        <v>228806.43</v>
      </c>
      <c r="H160" s="291"/>
      <c r="I160" s="54">
        <f t="shared" si="5"/>
        <v>1.0124</v>
      </c>
      <c r="J160" s="321"/>
      <c r="K160" s="322"/>
      <c r="L160" s="230"/>
      <c r="M160" s="230"/>
      <c r="N160" s="230"/>
      <c r="O160" s="230"/>
    </row>
    <row r="161" spans="1:15" s="246" customFormat="1" ht="31.5" customHeight="1">
      <c r="A161" s="243"/>
      <c r="B161" s="20"/>
      <c r="C161" s="85" t="s">
        <v>133</v>
      </c>
      <c r="D161" s="70" t="s">
        <v>166</v>
      </c>
      <c r="E161" s="72">
        <v>700</v>
      </c>
      <c r="F161" s="38">
        <f t="shared" si="6"/>
        <v>749.38</v>
      </c>
      <c r="G161" s="193">
        <v>749.38</v>
      </c>
      <c r="H161" s="192"/>
      <c r="I161" s="54">
        <f t="shared" si="5"/>
        <v>1.0705</v>
      </c>
      <c r="J161" s="323"/>
      <c r="K161" s="323"/>
      <c r="L161" s="230"/>
      <c r="M161" s="230"/>
      <c r="N161" s="230"/>
      <c r="O161" s="230"/>
    </row>
    <row r="162" spans="1:15" s="246" customFormat="1" ht="31.5" customHeight="1">
      <c r="A162" s="243"/>
      <c r="B162" s="20"/>
      <c r="C162" s="23" t="s">
        <v>134</v>
      </c>
      <c r="D162" s="66" t="s">
        <v>167</v>
      </c>
      <c r="E162" s="73">
        <v>160000</v>
      </c>
      <c r="F162" s="308">
        <f t="shared" si="6"/>
        <v>120266.89</v>
      </c>
      <c r="G162" s="290">
        <v>120266.89</v>
      </c>
      <c r="H162" s="291"/>
      <c r="I162" s="54">
        <f t="shared" si="5"/>
        <v>0.7517</v>
      </c>
      <c r="J162" s="323"/>
      <c r="K162" s="323"/>
      <c r="L162" s="230"/>
      <c r="M162" s="230"/>
      <c r="N162" s="230"/>
      <c r="O162" s="230"/>
    </row>
    <row r="163" spans="1:15" s="246" customFormat="1" ht="31.5" customHeight="1">
      <c r="A163" s="243"/>
      <c r="B163" s="20"/>
      <c r="C163" s="23" t="s">
        <v>136</v>
      </c>
      <c r="D163" s="98" t="s">
        <v>169</v>
      </c>
      <c r="E163" s="73">
        <v>150000</v>
      </c>
      <c r="F163" s="308">
        <f t="shared" si="6"/>
        <v>139850.94</v>
      </c>
      <c r="G163" s="193">
        <v>139850.94</v>
      </c>
      <c r="H163" s="192"/>
      <c r="I163" s="54">
        <f t="shared" si="5"/>
        <v>0.9323</v>
      </c>
      <c r="J163" s="323"/>
      <c r="K163" s="323"/>
      <c r="L163" s="230"/>
      <c r="M163" s="230"/>
      <c r="N163" s="230"/>
      <c r="O163" s="230"/>
    </row>
    <row r="164" spans="1:15" s="246" customFormat="1" ht="31.5" customHeight="1">
      <c r="A164" s="243"/>
      <c r="B164" s="20"/>
      <c r="C164" s="23" t="s">
        <v>137</v>
      </c>
      <c r="D164" s="66" t="s">
        <v>204</v>
      </c>
      <c r="E164" s="73">
        <v>67000</v>
      </c>
      <c r="F164" s="308">
        <f t="shared" si="6"/>
        <v>56475.95</v>
      </c>
      <c r="G164" s="290">
        <v>56475.95</v>
      </c>
      <c r="H164" s="291"/>
      <c r="I164" s="54">
        <f t="shared" si="5"/>
        <v>0.8429</v>
      </c>
      <c r="J164" s="321"/>
      <c r="K164" s="322"/>
      <c r="L164" s="230"/>
      <c r="M164" s="230"/>
      <c r="N164" s="230"/>
      <c r="O164" s="230"/>
    </row>
    <row r="165" spans="1:15" s="246" customFormat="1" ht="31.5" customHeight="1">
      <c r="A165" s="243"/>
      <c r="B165" s="20"/>
      <c r="C165" s="23" t="s">
        <v>141</v>
      </c>
      <c r="D165" s="98" t="s">
        <v>171</v>
      </c>
      <c r="E165" s="73">
        <v>193406</v>
      </c>
      <c r="F165" s="38">
        <f t="shared" si="6"/>
        <v>203615.5</v>
      </c>
      <c r="G165" s="193">
        <v>203615.5</v>
      </c>
      <c r="H165" s="192"/>
      <c r="I165" s="54">
        <f t="shared" si="5"/>
        <v>1.0528</v>
      </c>
      <c r="J165" s="323"/>
      <c r="K165" s="323"/>
      <c r="L165" s="230"/>
      <c r="M165" s="230"/>
      <c r="N165" s="230"/>
      <c r="O165" s="230"/>
    </row>
    <row r="166" spans="1:15" s="246" customFormat="1" ht="31.5" customHeight="1">
      <c r="A166" s="243"/>
      <c r="B166" s="20"/>
      <c r="C166" s="23" t="s">
        <v>144</v>
      </c>
      <c r="D166" s="66" t="s">
        <v>173</v>
      </c>
      <c r="E166" s="73">
        <v>1000000</v>
      </c>
      <c r="F166" s="308">
        <f t="shared" si="6"/>
        <v>2089073.15</v>
      </c>
      <c r="G166" s="290">
        <v>2089073.15</v>
      </c>
      <c r="H166" s="291"/>
      <c r="I166" s="54">
        <f t="shared" si="5"/>
        <v>2.0891</v>
      </c>
      <c r="J166" s="323"/>
      <c r="K166" s="323"/>
      <c r="L166" s="230"/>
      <c r="M166" s="230"/>
      <c r="N166" s="230"/>
      <c r="O166" s="230"/>
    </row>
    <row r="167" spans="1:15" s="246" customFormat="1" ht="31.5" customHeight="1">
      <c r="A167" s="243"/>
      <c r="B167" s="20"/>
      <c r="C167" s="23" t="s">
        <v>145</v>
      </c>
      <c r="D167" s="66" t="s">
        <v>178</v>
      </c>
      <c r="E167" s="73">
        <v>6200</v>
      </c>
      <c r="F167" s="308">
        <f t="shared" si="6"/>
        <v>4070.19</v>
      </c>
      <c r="G167" s="193">
        <v>4070.19</v>
      </c>
      <c r="H167" s="192"/>
      <c r="I167" s="54">
        <f t="shared" si="5"/>
        <v>0.6565</v>
      </c>
      <c r="J167" s="323"/>
      <c r="K167" s="323"/>
      <c r="L167" s="230"/>
      <c r="M167" s="230"/>
      <c r="N167" s="230"/>
      <c r="O167" s="230"/>
    </row>
    <row r="168" spans="1:15" s="246" customFormat="1" ht="31.5" customHeight="1">
      <c r="A168" s="243"/>
      <c r="B168" s="20"/>
      <c r="C168" s="23" t="s">
        <v>129</v>
      </c>
      <c r="D168" s="66" t="s">
        <v>158</v>
      </c>
      <c r="E168" s="73">
        <v>12000</v>
      </c>
      <c r="F168" s="308">
        <f t="shared" si="6"/>
        <v>18136.07</v>
      </c>
      <c r="G168" s="290">
        <v>18136.07</v>
      </c>
      <c r="H168" s="291"/>
      <c r="I168" s="54">
        <f t="shared" si="5"/>
        <v>1.5113</v>
      </c>
      <c r="J168" s="323"/>
      <c r="K168" s="323"/>
      <c r="L168" s="230"/>
      <c r="M168" s="230"/>
      <c r="N168" s="230"/>
      <c r="O168" s="230"/>
    </row>
    <row r="169" spans="1:15" s="246" customFormat="1" ht="31.5" customHeight="1">
      <c r="A169" s="243"/>
      <c r="B169" s="20"/>
      <c r="C169" s="23" t="s">
        <v>146</v>
      </c>
      <c r="D169" s="66" t="s">
        <v>174</v>
      </c>
      <c r="E169" s="73">
        <v>42000</v>
      </c>
      <c r="F169" s="308">
        <f t="shared" si="6"/>
        <v>62408.75</v>
      </c>
      <c r="G169" s="193">
        <v>62408.75</v>
      </c>
      <c r="H169" s="192"/>
      <c r="I169" s="54">
        <f t="shared" si="5"/>
        <v>1.4859</v>
      </c>
      <c r="J169" s="323"/>
      <c r="K169" s="323"/>
      <c r="L169" s="230"/>
      <c r="M169" s="230"/>
      <c r="N169" s="230"/>
      <c r="O169" s="230"/>
    </row>
    <row r="170" spans="1:15" s="246" customFormat="1" ht="31.5" customHeight="1">
      <c r="A170" s="298"/>
      <c r="B170" s="79"/>
      <c r="C170" s="85" t="s">
        <v>127</v>
      </c>
      <c r="D170" s="66" t="s">
        <v>156</v>
      </c>
      <c r="E170" s="73">
        <v>2000</v>
      </c>
      <c r="F170" s="308">
        <f t="shared" si="6"/>
        <v>2106.83</v>
      </c>
      <c r="G170" s="290">
        <v>2106.83</v>
      </c>
      <c r="H170" s="291"/>
      <c r="I170" s="54">
        <f t="shared" si="5"/>
        <v>1.0534</v>
      </c>
      <c r="J170" s="323"/>
      <c r="K170" s="323"/>
      <c r="L170" s="230"/>
      <c r="M170" s="230"/>
      <c r="N170" s="230"/>
      <c r="O170" s="230"/>
    </row>
    <row r="171" spans="1:15" s="246" customFormat="1" ht="14.25" customHeight="1">
      <c r="A171" s="243"/>
      <c r="B171" s="20">
        <v>75618</v>
      </c>
      <c r="C171" s="97"/>
      <c r="D171" s="247" t="s">
        <v>72</v>
      </c>
      <c r="E171" s="210"/>
      <c r="F171" s="209"/>
      <c r="G171" s="193"/>
      <c r="H171" s="192"/>
      <c r="I171" s="82"/>
      <c r="J171" s="323"/>
      <c r="K171" s="323"/>
      <c r="L171" s="230"/>
      <c r="M171" s="230"/>
      <c r="N171" s="230"/>
      <c r="O171" s="230"/>
    </row>
    <row r="172" spans="1:15" s="246" customFormat="1" ht="14.25" customHeight="1">
      <c r="A172" s="243"/>
      <c r="B172" s="20"/>
      <c r="C172" s="85"/>
      <c r="D172" s="211" t="s">
        <v>101</v>
      </c>
      <c r="E172" s="72">
        <f>SUM(E173:E180)</f>
        <v>1050083</v>
      </c>
      <c r="F172" s="175">
        <f>SUM(F173:F180)</f>
        <v>1096897.63</v>
      </c>
      <c r="G172" s="38">
        <f>SUM(G173:G180)</f>
        <v>1096897.63</v>
      </c>
      <c r="H172" s="175">
        <f>SUM(H173:H180)</f>
        <v>0</v>
      </c>
      <c r="I172" s="54">
        <f aca="true" t="shared" si="7" ref="I172:I180">SUM(F172/E172)</f>
        <v>1.0446</v>
      </c>
      <c r="J172" s="323"/>
      <c r="K172" s="323"/>
      <c r="L172" s="230"/>
      <c r="M172" s="230"/>
      <c r="N172" s="230"/>
      <c r="O172" s="230"/>
    </row>
    <row r="173" spans="1:15" s="246" customFormat="1" ht="31.5" customHeight="1">
      <c r="A173" s="243"/>
      <c r="B173" s="20"/>
      <c r="C173" s="23" t="s">
        <v>140</v>
      </c>
      <c r="D173" s="98" t="s">
        <v>170</v>
      </c>
      <c r="E173" s="73">
        <v>350000</v>
      </c>
      <c r="F173" s="309">
        <f aca="true" t="shared" si="8" ref="F173:F180">SUM(G173:H173)</f>
        <v>362871.81</v>
      </c>
      <c r="G173" s="290">
        <v>362871.81</v>
      </c>
      <c r="H173" s="291"/>
      <c r="I173" s="54">
        <f t="shared" si="7"/>
        <v>1.0368</v>
      </c>
      <c r="J173" s="323"/>
      <c r="K173" s="323"/>
      <c r="L173" s="230"/>
      <c r="M173" s="230"/>
      <c r="N173" s="230"/>
      <c r="O173" s="230"/>
    </row>
    <row r="174" spans="1:15" s="246" customFormat="1" ht="31.5" customHeight="1">
      <c r="A174" s="243"/>
      <c r="B174" s="20"/>
      <c r="C174" s="23" t="s">
        <v>11</v>
      </c>
      <c r="D174" s="98" t="s">
        <v>12</v>
      </c>
      <c r="E174" s="73">
        <v>1700</v>
      </c>
      <c r="F174" s="309">
        <f t="shared" si="8"/>
        <v>25399.62</v>
      </c>
      <c r="G174" s="193">
        <v>25399.62</v>
      </c>
      <c r="H174" s="192"/>
      <c r="I174" s="54">
        <f t="shared" si="7"/>
        <v>14.941</v>
      </c>
      <c r="J174" s="323"/>
      <c r="K174" s="323"/>
      <c r="L174" s="230"/>
      <c r="M174" s="230"/>
      <c r="N174" s="230"/>
      <c r="O174" s="230"/>
    </row>
    <row r="175" spans="1:15" s="246" customFormat="1" ht="31.5" customHeight="1">
      <c r="A175" s="243"/>
      <c r="B175" s="20"/>
      <c r="C175" s="23" t="s">
        <v>142</v>
      </c>
      <c r="D175" s="98" t="s">
        <v>13</v>
      </c>
      <c r="E175" s="73">
        <v>599567</v>
      </c>
      <c r="F175" s="309">
        <f t="shared" si="8"/>
        <v>624749.3</v>
      </c>
      <c r="G175" s="290">
        <v>624749.3</v>
      </c>
      <c r="H175" s="291"/>
      <c r="I175" s="54">
        <f t="shared" si="7"/>
        <v>1.042</v>
      </c>
      <c r="J175" s="323"/>
      <c r="K175" s="323"/>
      <c r="L175" s="230"/>
      <c r="M175" s="230"/>
      <c r="N175" s="230"/>
      <c r="O175" s="230"/>
    </row>
    <row r="176" spans="1:15" s="246" customFormat="1" ht="31.5" customHeight="1">
      <c r="A176" s="243"/>
      <c r="B176" s="20"/>
      <c r="C176" s="23" t="s">
        <v>143</v>
      </c>
      <c r="D176" s="66" t="s">
        <v>172</v>
      </c>
      <c r="E176" s="73">
        <v>25000</v>
      </c>
      <c r="F176" s="309">
        <f t="shared" si="8"/>
        <v>9646.78</v>
      </c>
      <c r="G176" s="290">
        <v>9646.78</v>
      </c>
      <c r="H176" s="291"/>
      <c r="I176" s="54">
        <f t="shared" si="7"/>
        <v>0.3859</v>
      </c>
      <c r="J176" s="323"/>
      <c r="K176" s="323"/>
      <c r="L176" s="230"/>
      <c r="M176" s="230"/>
      <c r="N176" s="230"/>
      <c r="O176" s="230"/>
    </row>
    <row r="177" spans="1:15" s="246" customFormat="1" ht="31.5" customHeight="1">
      <c r="A177" s="243"/>
      <c r="B177" s="20"/>
      <c r="C177" s="23" t="s">
        <v>128</v>
      </c>
      <c r="D177" s="98" t="s">
        <v>157</v>
      </c>
      <c r="E177" s="73">
        <v>1300</v>
      </c>
      <c r="F177" s="309">
        <f t="shared" si="8"/>
        <v>1780</v>
      </c>
      <c r="G177" s="193">
        <v>1780</v>
      </c>
      <c r="H177" s="192"/>
      <c r="I177" s="54">
        <f t="shared" si="7"/>
        <v>1.3692</v>
      </c>
      <c r="J177" s="323"/>
      <c r="K177" s="323"/>
      <c r="L177" s="230"/>
      <c r="M177" s="230"/>
      <c r="N177" s="230"/>
      <c r="O177" s="230"/>
    </row>
    <row r="178" spans="1:11" s="246" customFormat="1" ht="31.5" customHeight="1">
      <c r="A178" s="243"/>
      <c r="B178" s="20"/>
      <c r="C178" s="23" t="s">
        <v>129</v>
      </c>
      <c r="D178" s="66" t="s">
        <v>158</v>
      </c>
      <c r="E178" s="73">
        <v>72000</v>
      </c>
      <c r="F178" s="309">
        <f t="shared" si="8"/>
        <v>72393.42</v>
      </c>
      <c r="G178" s="290">
        <v>72393.42</v>
      </c>
      <c r="H178" s="291"/>
      <c r="I178" s="54">
        <f t="shared" si="7"/>
        <v>1.0055</v>
      </c>
      <c r="J178" s="245"/>
      <c r="K178" s="245"/>
    </row>
    <row r="179" spans="1:11" s="246" customFormat="1" ht="31.5" customHeight="1">
      <c r="A179" s="243"/>
      <c r="B179" s="20"/>
      <c r="C179" s="74" t="s">
        <v>126</v>
      </c>
      <c r="D179" s="66" t="s">
        <v>163</v>
      </c>
      <c r="E179" s="72">
        <v>16</v>
      </c>
      <c r="F179" s="309">
        <f t="shared" si="8"/>
        <v>56.7</v>
      </c>
      <c r="G179" s="290">
        <v>56.7</v>
      </c>
      <c r="H179" s="291"/>
      <c r="I179" s="54">
        <f t="shared" si="7"/>
        <v>3.5438</v>
      </c>
      <c r="J179" s="245"/>
      <c r="K179" s="245"/>
    </row>
    <row r="180" spans="1:11" s="246" customFormat="1" ht="31.5" customHeight="1">
      <c r="A180" s="243"/>
      <c r="B180" s="21"/>
      <c r="C180" s="85" t="s">
        <v>127</v>
      </c>
      <c r="D180" s="66" t="s">
        <v>156</v>
      </c>
      <c r="E180" s="72">
        <v>500</v>
      </c>
      <c r="F180" s="309">
        <f t="shared" si="8"/>
        <v>0</v>
      </c>
      <c r="G180" s="290"/>
      <c r="H180" s="291"/>
      <c r="I180" s="54">
        <f t="shared" si="7"/>
        <v>0</v>
      </c>
      <c r="J180" s="245"/>
      <c r="K180" s="245"/>
    </row>
    <row r="181" spans="1:11" s="246" customFormat="1" ht="14.25" customHeight="1">
      <c r="A181" s="243"/>
      <c r="B181" s="20">
        <v>75621</v>
      </c>
      <c r="C181" s="20"/>
      <c r="D181" s="247" t="s">
        <v>37</v>
      </c>
      <c r="E181" s="191"/>
      <c r="F181" s="284"/>
      <c r="G181" s="305"/>
      <c r="H181" s="284"/>
      <c r="I181" s="82"/>
      <c r="J181" s="245"/>
      <c r="K181" s="245"/>
    </row>
    <row r="182" spans="1:11" s="246" customFormat="1" ht="14.25" customHeight="1">
      <c r="A182" s="243"/>
      <c r="B182" s="20"/>
      <c r="C182" s="21"/>
      <c r="D182" s="211" t="s">
        <v>73</v>
      </c>
      <c r="E182" s="72">
        <f>SUM(E183:E184)</f>
        <v>21147823</v>
      </c>
      <c r="F182" s="175">
        <f>SUM(F183:F184)</f>
        <v>23868518.35</v>
      </c>
      <c r="G182" s="38">
        <f>SUM(G183:G184)</f>
        <v>23868518.35</v>
      </c>
      <c r="H182" s="175">
        <f>SUM(H183:H184)</f>
        <v>0</v>
      </c>
      <c r="I182" s="54">
        <f>SUM(F182/E182)</f>
        <v>1.1287</v>
      </c>
      <c r="J182" s="245"/>
      <c r="K182" s="245"/>
    </row>
    <row r="183" spans="1:11" s="246" customFormat="1" ht="31.5" customHeight="1">
      <c r="A183" s="243"/>
      <c r="B183" s="20"/>
      <c r="C183" s="71" t="s">
        <v>138</v>
      </c>
      <c r="D183" s="70" t="s">
        <v>159</v>
      </c>
      <c r="E183" s="100">
        <v>20000000</v>
      </c>
      <c r="F183" s="326">
        <f>SUM(G183:H183)</f>
        <v>22727761</v>
      </c>
      <c r="G183" s="290">
        <v>22727761</v>
      </c>
      <c r="H183" s="291"/>
      <c r="I183" s="54">
        <f>SUM(F183/E183)</f>
        <v>1.1364</v>
      </c>
      <c r="J183" s="245"/>
      <c r="K183" s="245"/>
    </row>
    <row r="184" spans="1:11" s="246" customFormat="1" ht="31.5" customHeight="1" thickBot="1">
      <c r="A184" s="532"/>
      <c r="B184" s="405"/>
      <c r="C184" s="89" t="s">
        <v>139</v>
      </c>
      <c r="D184" s="90" t="s">
        <v>160</v>
      </c>
      <c r="E184" s="552">
        <v>1147823</v>
      </c>
      <c r="F184" s="553">
        <f>SUM(G184:H184)</f>
        <v>1140757.35</v>
      </c>
      <c r="G184" s="535">
        <v>1140757.35</v>
      </c>
      <c r="H184" s="536"/>
      <c r="I184" s="91">
        <f>SUM(F184/E184)</f>
        <v>0.9938</v>
      </c>
      <c r="J184" s="245"/>
      <c r="K184" s="245"/>
    </row>
    <row r="185" spans="1:11" s="172" customFormat="1" ht="14.25" customHeight="1">
      <c r="A185" s="546">
        <v>1</v>
      </c>
      <c r="B185" s="92">
        <v>2</v>
      </c>
      <c r="C185" s="92">
        <v>3</v>
      </c>
      <c r="D185" s="92">
        <v>4</v>
      </c>
      <c r="E185" s="547">
        <v>5</v>
      </c>
      <c r="F185" s="548">
        <v>6</v>
      </c>
      <c r="G185" s="539">
        <v>7</v>
      </c>
      <c r="H185" s="548">
        <v>8</v>
      </c>
      <c r="I185" s="541">
        <v>9</v>
      </c>
      <c r="J185" s="171"/>
      <c r="K185" s="171"/>
    </row>
    <row r="186" spans="1:11" s="246" customFormat="1" ht="14.25" customHeight="1">
      <c r="A186" s="243"/>
      <c r="B186" s="20">
        <v>75647</v>
      </c>
      <c r="C186" s="20"/>
      <c r="D186" s="247" t="s">
        <v>205</v>
      </c>
      <c r="E186" s="311"/>
      <c r="F186" s="312"/>
      <c r="G186" s="313"/>
      <c r="H186" s="312"/>
      <c r="I186" s="47"/>
      <c r="J186" s="245"/>
      <c r="K186" s="245"/>
    </row>
    <row r="187" spans="1:11" s="246" customFormat="1" ht="14.25" customHeight="1">
      <c r="A187" s="243"/>
      <c r="B187" s="20"/>
      <c r="C187" s="21"/>
      <c r="D187" s="211"/>
      <c r="E187" s="72">
        <f>SUM(E188:E188)</f>
        <v>0</v>
      </c>
      <c r="F187" s="175">
        <f>SUM(F188:F188)</f>
        <v>118</v>
      </c>
      <c r="G187" s="38">
        <f>SUM(G188:G188)</f>
        <v>118</v>
      </c>
      <c r="H187" s="175">
        <f>SUM(H188:H188)</f>
        <v>0</v>
      </c>
      <c r="I187" s="54"/>
      <c r="J187" s="245"/>
      <c r="K187" s="245"/>
    </row>
    <row r="188" spans="1:11" s="246" customFormat="1" ht="31.5" customHeight="1" thickBot="1">
      <c r="A188" s="248"/>
      <c r="B188" s="104"/>
      <c r="C188" s="56" t="s">
        <v>127</v>
      </c>
      <c r="D188" s="76" t="s">
        <v>156</v>
      </c>
      <c r="E188" s="327">
        <v>0</v>
      </c>
      <c r="F188" s="328">
        <f>SUM(G188:H188)</f>
        <v>118</v>
      </c>
      <c r="G188" s="296">
        <v>118</v>
      </c>
      <c r="H188" s="297"/>
      <c r="I188" s="68"/>
      <c r="J188" s="245"/>
      <c r="K188" s="245"/>
    </row>
    <row r="189" spans="1:11" s="246" customFormat="1" ht="14.25" customHeight="1" thickTop="1">
      <c r="A189" s="243"/>
      <c r="B189" s="310"/>
      <c r="C189" s="20"/>
      <c r="D189" s="247"/>
      <c r="E189" s="210"/>
      <c r="F189" s="209"/>
      <c r="G189" s="193"/>
      <c r="H189" s="192"/>
      <c r="I189" s="82"/>
      <c r="J189" s="245"/>
      <c r="K189" s="245"/>
    </row>
    <row r="190" spans="1:11" s="246" customFormat="1" ht="14.25" customHeight="1">
      <c r="A190" s="243">
        <v>758</v>
      </c>
      <c r="B190" s="244"/>
      <c r="C190" s="21"/>
      <c r="D190" s="211" t="s">
        <v>278</v>
      </c>
      <c r="E190" s="72">
        <f>SUM(E192+E195+E202)+E198</f>
        <v>17431284</v>
      </c>
      <c r="F190" s="175">
        <f>SUM(F192+F195+F202)+F198</f>
        <v>17899486.35</v>
      </c>
      <c r="G190" s="175">
        <f>SUM(G192+G195+G202)+G198</f>
        <v>17899486.35</v>
      </c>
      <c r="H190" s="175">
        <f>SUM(H192+H195+H202)+H198</f>
        <v>0</v>
      </c>
      <c r="I190" s="54">
        <f>SUM(F190/E190)</f>
        <v>1.0269</v>
      </c>
      <c r="J190" s="245"/>
      <c r="K190" s="245"/>
    </row>
    <row r="191" spans="1:11" s="246" customFormat="1" ht="14.25" customHeight="1">
      <c r="A191" s="243"/>
      <c r="B191" s="20"/>
      <c r="C191" s="20"/>
      <c r="D191" s="247"/>
      <c r="E191" s="210"/>
      <c r="F191" s="252"/>
      <c r="G191" s="283"/>
      <c r="H191" s="252"/>
      <c r="I191" s="82"/>
      <c r="J191" s="245"/>
      <c r="K191" s="245"/>
    </row>
    <row r="192" spans="1:11" s="246" customFormat="1" ht="14.25" customHeight="1">
      <c r="A192" s="243"/>
      <c r="B192" s="20">
        <v>75801</v>
      </c>
      <c r="C192" s="21"/>
      <c r="D192" s="211" t="s">
        <v>114</v>
      </c>
      <c r="E192" s="72">
        <f>SUM(E193)</f>
        <v>15861413</v>
      </c>
      <c r="F192" s="175">
        <f>SUM(F193)</f>
        <v>15871923</v>
      </c>
      <c r="G192" s="38">
        <f>SUM(G193)</f>
        <v>15871923</v>
      </c>
      <c r="H192" s="175">
        <f>SUM(H193)</f>
        <v>0</v>
      </c>
      <c r="I192" s="54">
        <f>SUM(F192/E192)</f>
        <v>1.0007</v>
      </c>
      <c r="J192" s="245"/>
      <c r="K192" s="245"/>
    </row>
    <row r="193" spans="1:11" s="246" customFormat="1" ht="31.5" customHeight="1">
      <c r="A193" s="243"/>
      <c r="B193" s="21"/>
      <c r="C193" s="81" t="s">
        <v>147</v>
      </c>
      <c r="D193" s="66" t="s">
        <v>188</v>
      </c>
      <c r="E193" s="73">
        <v>15861413</v>
      </c>
      <c r="F193" s="309">
        <f>SUM(G193:H193)</f>
        <v>15871923</v>
      </c>
      <c r="G193" s="290">
        <v>15871923</v>
      </c>
      <c r="H193" s="291"/>
      <c r="I193" s="54">
        <f>SUM(F193/E193)</f>
        <v>1.0007</v>
      </c>
      <c r="J193" s="245"/>
      <c r="K193" s="245"/>
    </row>
    <row r="194" spans="1:11" s="246" customFormat="1" ht="14.25" customHeight="1">
      <c r="A194" s="243"/>
      <c r="B194" s="20"/>
      <c r="C194" s="20"/>
      <c r="D194" s="247"/>
      <c r="E194" s="210"/>
      <c r="F194" s="209"/>
      <c r="G194" s="193"/>
      <c r="H194" s="192"/>
      <c r="I194" s="82"/>
      <c r="J194" s="245"/>
      <c r="K194" s="245"/>
    </row>
    <row r="195" spans="1:11" s="246" customFormat="1" ht="11.25" customHeight="1">
      <c r="A195" s="243"/>
      <c r="B195" s="20">
        <v>75814</v>
      </c>
      <c r="C195" s="21"/>
      <c r="D195" s="211" t="s">
        <v>184</v>
      </c>
      <c r="E195" s="72">
        <f>SUM(E196)</f>
        <v>600000</v>
      </c>
      <c r="F195" s="175">
        <f>SUM(F196)</f>
        <v>967692.35</v>
      </c>
      <c r="G195" s="38">
        <f>SUM(G196)</f>
        <v>967692.35</v>
      </c>
      <c r="H195" s="175">
        <f>SUM(H196)</f>
        <v>0</v>
      </c>
      <c r="I195" s="54">
        <f>SUM(F195/E195)</f>
        <v>1.6128</v>
      </c>
      <c r="J195" s="245"/>
      <c r="K195" s="245"/>
    </row>
    <row r="196" spans="1:11" s="246" customFormat="1" ht="31.5" customHeight="1">
      <c r="A196" s="243"/>
      <c r="B196" s="21"/>
      <c r="C196" s="101" t="s">
        <v>126</v>
      </c>
      <c r="D196" s="70" t="s">
        <v>163</v>
      </c>
      <c r="E196" s="72">
        <v>600000</v>
      </c>
      <c r="F196" s="175">
        <f>SUM(G196:H196)</f>
        <v>967692.35</v>
      </c>
      <c r="G196" s="38">
        <v>967692.35</v>
      </c>
      <c r="H196" s="175"/>
      <c r="I196" s="54">
        <f>SUM(F196/E196)</f>
        <v>1.6128</v>
      </c>
      <c r="J196" s="245"/>
      <c r="K196" s="245"/>
    </row>
    <row r="197" spans="1:11" s="246" customFormat="1" ht="14.25" customHeight="1">
      <c r="A197" s="243"/>
      <c r="B197" s="20"/>
      <c r="C197" s="20"/>
      <c r="D197" s="247"/>
      <c r="E197" s="210"/>
      <c r="F197" s="209"/>
      <c r="G197" s="329"/>
      <c r="H197" s="209"/>
      <c r="I197" s="82"/>
      <c r="J197" s="245"/>
      <c r="K197" s="245"/>
    </row>
    <row r="198" spans="1:11" s="246" customFormat="1" ht="14.25" customHeight="1">
      <c r="A198" s="243"/>
      <c r="B198" s="20">
        <v>75820</v>
      </c>
      <c r="C198" s="21"/>
      <c r="D198" s="211" t="s">
        <v>206</v>
      </c>
      <c r="E198" s="72">
        <f>SUM(E199:E200)</f>
        <v>10534</v>
      </c>
      <c r="F198" s="175">
        <f>SUM(F199:F200)</f>
        <v>100534</v>
      </c>
      <c r="G198" s="175">
        <f>SUM(G199:G200)</f>
        <v>100534</v>
      </c>
      <c r="H198" s="175">
        <f>SUM(H199:H200)</f>
        <v>0</v>
      </c>
      <c r="I198" s="54">
        <f>SUM(F198/E198)</f>
        <v>9.5438</v>
      </c>
      <c r="J198" s="245"/>
      <c r="K198" s="245"/>
    </row>
    <row r="199" spans="1:11" s="165" customFormat="1" ht="31.5" customHeight="1">
      <c r="A199" s="180"/>
      <c r="B199" s="55"/>
      <c r="C199" s="330" t="s">
        <v>179</v>
      </c>
      <c r="D199" s="287" t="s">
        <v>180</v>
      </c>
      <c r="E199" s="288">
        <v>10077</v>
      </c>
      <c r="F199" s="331">
        <f>SUM(G199:H199)</f>
        <v>88437.6</v>
      </c>
      <c r="G199" s="294">
        <v>88437.6</v>
      </c>
      <c r="H199" s="212"/>
      <c r="I199" s="54">
        <f>SUM(F199/E199)</f>
        <v>8.7762</v>
      </c>
      <c r="J199" s="166"/>
      <c r="K199" s="166"/>
    </row>
    <row r="200" spans="1:11" s="246" customFormat="1" ht="31.5" customHeight="1">
      <c r="A200" s="243"/>
      <c r="B200" s="21"/>
      <c r="C200" s="332" t="s">
        <v>126</v>
      </c>
      <c r="D200" s="66" t="s">
        <v>163</v>
      </c>
      <c r="E200" s="72">
        <v>457</v>
      </c>
      <c r="F200" s="175">
        <f>SUM(G200:H200)</f>
        <v>12096.4</v>
      </c>
      <c r="G200" s="290">
        <v>12096.4</v>
      </c>
      <c r="H200" s="291"/>
      <c r="I200" s="65">
        <f>SUM(F200/E200)</f>
        <v>26.4691</v>
      </c>
      <c r="J200" s="245"/>
      <c r="K200" s="245"/>
    </row>
    <row r="201" spans="1:11" s="246" customFormat="1" ht="14.25" customHeight="1">
      <c r="A201" s="243"/>
      <c r="B201" s="20"/>
      <c r="C201" s="20"/>
      <c r="D201" s="247"/>
      <c r="E201" s="210"/>
      <c r="F201" s="252"/>
      <c r="G201" s="283"/>
      <c r="H201" s="252"/>
      <c r="I201" s="82"/>
      <c r="J201" s="245"/>
      <c r="K201" s="245"/>
    </row>
    <row r="202" spans="1:11" s="246" customFormat="1" ht="14.25" customHeight="1">
      <c r="A202" s="243"/>
      <c r="B202" s="20">
        <v>75831</v>
      </c>
      <c r="C202" s="21"/>
      <c r="D202" s="211" t="s">
        <v>113</v>
      </c>
      <c r="E202" s="72">
        <f>SUM(E203)</f>
        <v>959337</v>
      </c>
      <c r="F202" s="175">
        <f>SUM(F203)</f>
        <v>959337</v>
      </c>
      <c r="G202" s="38">
        <f>SUM(G203)</f>
        <v>959337</v>
      </c>
      <c r="H202" s="175">
        <f>SUM(H203)</f>
        <v>0</v>
      </c>
      <c r="I202" s="54">
        <f>SUM(F202/E202)</f>
        <v>1</v>
      </c>
      <c r="J202" s="245"/>
      <c r="K202" s="245"/>
    </row>
    <row r="203" spans="1:11" s="246" customFormat="1" ht="31.5" customHeight="1" thickBot="1">
      <c r="A203" s="248"/>
      <c r="B203" s="104"/>
      <c r="C203" s="56" t="s">
        <v>147</v>
      </c>
      <c r="D203" s="57" t="s">
        <v>188</v>
      </c>
      <c r="E203" s="249">
        <v>959337</v>
      </c>
      <c r="F203" s="250">
        <f>SUM(G203:H203)</f>
        <v>959337</v>
      </c>
      <c r="G203" s="296">
        <v>959337</v>
      </c>
      <c r="H203" s="297"/>
      <c r="I203" s="58">
        <f>SUM(F203/E203)</f>
        <v>1</v>
      </c>
      <c r="J203" s="245"/>
      <c r="K203" s="245"/>
    </row>
    <row r="204" spans="1:11" s="246" customFormat="1" ht="14.25" customHeight="1" thickTop="1">
      <c r="A204" s="243"/>
      <c r="B204" s="20"/>
      <c r="C204" s="77"/>
      <c r="D204" s="102"/>
      <c r="E204" s="210"/>
      <c r="F204" s="252"/>
      <c r="G204" s="305"/>
      <c r="H204" s="284"/>
      <c r="I204" s="82"/>
      <c r="J204" s="245"/>
      <c r="K204" s="245"/>
    </row>
    <row r="205" spans="1:11" s="246" customFormat="1" ht="20.25" customHeight="1">
      <c r="A205" s="243">
        <v>801</v>
      </c>
      <c r="B205" s="244"/>
      <c r="C205" s="21"/>
      <c r="D205" s="211" t="s">
        <v>279</v>
      </c>
      <c r="E205" s="72">
        <f>SUM(E207+E216+E221+E230)+E227</f>
        <v>1532532</v>
      </c>
      <c r="F205" s="175">
        <f>SUM(F207+F216+F221+F230)+F227</f>
        <v>1534874.07</v>
      </c>
      <c r="G205" s="175">
        <f>SUM(G207+G216+G221+G230)+G227</f>
        <v>484109.06</v>
      </c>
      <c r="H205" s="175">
        <f>SUM(H207+H216+H221+H230)+H227</f>
        <v>1050765.01</v>
      </c>
      <c r="I205" s="54">
        <f>SUM(F205/E205)</f>
        <v>1.0015</v>
      </c>
      <c r="J205" s="245"/>
      <c r="K205" s="245"/>
    </row>
    <row r="206" spans="1:11" s="246" customFormat="1" ht="14.25" customHeight="1">
      <c r="A206" s="243"/>
      <c r="B206" s="310"/>
      <c r="C206" s="20"/>
      <c r="D206" s="247"/>
      <c r="E206" s="210"/>
      <c r="F206" s="252"/>
      <c r="G206" s="283"/>
      <c r="H206" s="252"/>
      <c r="I206" s="82"/>
      <c r="J206" s="245"/>
      <c r="K206" s="245"/>
    </row>
    <row r="207" spans="1:11" s="246" customFormat="1" ht="14.25" customHeight="1">
      <c r="A207" s="243"/>
      <c r="B207" s="20">
        <v>80101</v>
      </c>
      <c r="C207" s="21"/>
      <c r="D207" s="211" t="s">
        <v>74</v>
      </c>
      <c r="E207" s="72">
        <f>SUM(E208:E215)</f>
        <v>907892</v>
      </c>
      <c r="F207" s="175">
        <f>SUM(F208:F215)</f>
        <v>975517.58</v>
      </c>
      <c r="G207" s="175">
        <f>SUM(G208:G215)</f>
        <v>186332.85</v>
      </c>
      <c r="H207" s="175">
        <f>SUM(H208:H215)</f>
        <v>789184.73</v>
      </c>
      <c r="I207" s="54">
        <f aca="true" t="shared" si="9" ref="I207:I213">SUM(F207/E207)</f>
        <v>1.0745</v>
      </c>
      <c r="J207" s="245"/>
      <c r="K207" s="245"/>
    </row>
    <row r="208" spans="1:11" s="165" customFormat="1" ht="31.5" customHeight="1">
      <c r="A208" s="180"/>
      <c r="B208" s="55"/>
      <c r="C208" s="330" t="s">
        <v>179</v>
      </c>
      <c r="D208" s="287" t="s">
        <v>180</v>
      </c>
      <c r="E208" s="288">
        <v>0</v>
      </c>
      <c r="F208" s="331">
        <f>SUM(G208:H208)</f>
        <v>67673.91</v>
      </c>
      <c r="G208" s="294">
        <v>67673.91</v>
      </c>
      <c r="H208" s="212"/>
      <c r="I208" s="54"/>
      <c r="J208" s="166"/>
      <c r="K208" s="166"/>
    </row>
    <row r="209" spans="1:11" s="165" customFormat="1" ht="31.5" customHeight="1">
      <c r="A209" s="180"/>
      <c r="B209" s="55"/>
      <c r="C209" s="333">
        <v>2030</v>
      </c>
      <c r="D209" s="70" t="s">
        <v>102</v>
      </c>
      <c r="E209" s="72">
        <v>85540</v>
      </c>
      <c r="F209" s="299">
        <f aca="true" t="shared" si="10" ref="F209:F215">SUM(G209:H209)</f>
        <v>85540</v>
      </c>
      <c r="G209" s="299">
        <v>85540</v>
      </c>
      <c r="H209" s="334"/>
      <c r="I209" s="65">
        <f t="shared" si="9"/>
        <v>1</v>
      </c>
      <c r="J209" s="166"/>
      <c r="K209" s="166"/>
    </row>
    <row r="210" spans="1:11" s="165" customFormat="1" ht="31.5" customHeight="1">
      <c r="A210" s="180"/>
      <c r="B210" s="55"/>
      <c r="C210" s="333">
        <v>2440</v>
      </c>
      <c r="D210" s="70" t="s">
        <v>16</v>
      </c>
      <c r="E210" s="72">
        <v>18000</v>
      </c>
      <c r="F210" s="299">
        <f t="shared" si="10"/>
        <v>18000</v>
      </c>
      <c r="G210" s="299">
        <v>18000</v>
      </c>
      <c r="H210" s="334"/>
      <c r="I210" s="65">
        <f t="shared" si="9"/>
        <v>1</v>
      </c>
      <c r="J210" s="166"/>
      <c r="K210" s="166"/>
    </row>
    <row r="211" spans="1:11" s="165" customFormat="1" ht="38.25" customHeight="1">
      <c r="A211" s="180"/>
      <c r="B211" s="55"/>
      <c r="C211" s="333">
        <v>2460</v>
      </c>
      <c r="D211" s="70" t="s">
        <v>39</v>
      </c>
      <c r="E211" s="72">
        <v>4574</v>
      </c>
      <c r="F211" s="299">
        <f t="shared" si="10"/>
        <v>4572.14</v>
      </c>
      <c r="G211" s="299">
        <v>4572.14</v>
      </c>
      <c r="H211" s="334"/>
      <c r="I211" s="65">
        <f t="shared" si="9"/>
        <v>0.9996</v>
      </c>
      <c r="J211" s="166"/>
      <c r="K211" s="166"/>
    </row>
    <row r="212" spans="1:11" s="165" customFormat="1" ht="43.5" customHeight="1">
      <c r="A212" s="180"/>
      <c r="B212" s="55"/>
      <c r="C212" s="333">
        <v>2705</v>
      </c>
      <c r="D212" s="70" t="s">
        <v>258</v>
      </c>
      <c r="E212" s="72">
        <v>1672</v>
      </c>
      <c r="F212" s="299">
        <f t="shared" si="10"/>
        <v>1672</v>
      </c>
      <c r="G212" s="299">
        <v>1672</v>
      </c>
      <c r="H212" s="334"/>
      <c r="I212" s="65">
        <f t="shared" si="9"/>
        <v>1</v>
      </c>
      <c r="J212" s="166"/>
      <c r="K212" s="166"/>
    </row>
    <row r="213" spans="1:11" s="165" customFormat="1" ht="38.25" customHeight="1">
      <c r="A213" s="204"/>
      <c r="B213" s="55"/>
      <c r="C213" s="333">
        <v>2708</v>
      </c>
      <c r="D213" s="70" t="s">
        <v>258</v>
      </c>
      <c r="E213" s="73">
        <v>8875</v>
      </c>
      <c r="F213" s="309">
        <f t="shared" si="10"/>
        <v>8874.8</v>
      </c>
      <c r="G213" s="309">
        <v>8874.8</v>
      </c>
      <c r="H213" s="309"/>
      <c r="I213" s="65">
        <f t="shared" si="9"/>
        <v>1</v>
      </c>
      <c r="J213" s="166"/>
      <c r="K213" s="166"/>
    </row>
    <row r="214" spans="1:11" s="246" customFormat="1" ht="36.75" customHeight="1">
      <c r="A214" s="298"/>
      <c r="B214" s="20"/>
      <c r="C214" s="335">
        <v>6260</v>
      </c>
      <c r="D214" s="70" t="s">
        <v>151</v>
      </c>
      <c r="E214" s="72">
        <v>185000</v>
      </c>
      <c r="F214" s="175">
        <f>SUM(G214:H214)</f>
        <v>184953.73</v>
      </c>
      <c r="G214" s="267"/>
      <c r="H214" s="268">
        <v>184953.73</v>
      </c>
      <c r="I214" s="54">
        <f>SUM(F214/E214)</f>
        <v>0.9997</v>
      </c>
      <c r="J214" s="245"/>
      <c r="K214" s="245"/>
    </row>
    <row r="215" spans="1:11" s="246" customFormat="1" ht="31.5" customHeight="1">
      <c r="A215" s="298"/>
      <c r="B215" s="21"/>
      <c r="C215" s="335">
        <v>6330</v>
      </c>
      <c r="D215" s="70" t="s">
        <v>7</v>
      </c>
      <c r="E215" s="72">
        <v>604231</v>
      </c>
      <c r="F215" s="175">
        <f t="shared" si="10"/>
        <v>604231</v>
      </c>
      <c r="G215" s="267"/>
      <c r="H215" s="268">
        <v>604231</v>
      </c>
      <c r="I215" s="54">
        <f>SUM(F215/E215)</f>
        <v>1</v>
      </c>
      <c r="J215" s="245"/>
      <c r="K215" s="245"/>
    </row>
    <row r="216" spans="1:11" s="246" customFormat="1" ht="31.5" customHeight="1">
      <c r="A216" s="243"/>
      <c r="B216" s="20">
        <v>80104</v>
      </c>
      <c r="C216" s="335"/>
      <c r="D216" s="211" t="s">
        <v>94</v>
      </c>
      <c r="E216" s="72">
        <f>SUM(E217:E218)</f>
        <v>192189</v>
      </c>
      <c r="F216" s="175">
        <f>SUM(F217:F218)</f>
        <v>192188.74</v>
      </c>
      <c r="G216" s="175">
        <f>SUM(G217:G218)</f>
        <v>608.14</v>
      </c>
      <c r="H216" s="175">
        <f>SUM(H217:H218)</f>
        <v>191580.6</v>
      </c>
      <c r="I216" s="54">
        <f>SUM(F216/E216)</f>
        <v>1</v>
      </c>
      <c r="J216" s="245"/>
      <c r="K216" s="245"/>
    </row>
    <row r="217" spans="1:11" s="246" customFormat="1" ht="31.5" customHeight="1">
      <c r="A217" s="298"/>
      <c r="B217" s="20"/>
      <c r="C217" s="336" t="s">
        <v>105</v>
      </c>
      <c r="D217" s="285" t="s">
        <v>198</v>
      </c>
      <c r="E217" s="73">
        <v>608</v>
      </c>
      <c r="F217" s="309">
        <f>SUM(G217:H217)</f>
        <v>608.14</v>
      </c>
      <c r="G217" s="290">
        <v>608.14</v>
      </c>
      <c r="H217" s="291"/>
      <c r="I217" s="54">
        <f>SUM(F217/E217)</f>
        <v>1.0002</v>
      </c>
      <c r="J217" s="245"/>
      <c r="K217" s="245"/>
    </row>
    <row r="218" spans="1:11" s="246" customFormat="1" ht="39" thickBot="1">
      <c r="A218" s="554"/>
      <c r="B218" s="555"/>
      <c r="C218" s="556" t="s">
        <v>207</v>
      </c>
      <c r="D218" s="126" t="s">
        <v>151</v>
      </c>
      <c r="E218" s="550">
        <v>191581</v>
      </c>
      <c r="F218" s="557">
        <f>SUM(G218:H218)</f>
        <v>191580.6</v>
      </c>
      <c r="G218" s="535"/>
      <c r="H218" s="536">
        <v>191580.6</v>
      </c>
      <c r="I218" s="139">
        <f>SUM(F218/E218)</f>
        <v>1</v>
      </c>
      <c r="J218" s="245"/>
      <c r="K218" s="245"/>
    </row>
    <row r="219" spans="1:11" s="172" customFormat="1" ht="14.25" customHeight="1">
      <c r="A219" s="546">
        <v>1</v>
      </c>
      <c r="B219" s="92">
        <v>2</v>
      </c>
      <c r="C219" s="547">
        <v>3</v>
      </c>
      <c r="D219" s="92">
        <v>4</v>
      </c>
      <c r="E219" s="547">
        <v>5</v>
      </c>
      <c r="F219" s="548">
        <v>6</v>
      </c>
      <c r="G219" s="539">
        <v>7</v>
      </c>
      <c r="H219" s="548">
        <v>8</v>
      </c>
      <c r="I219" s="541">
        <v>9</v>
      </c>
      <c r="J219" s="171"/>
      <c r="K219" s="171"/>
    </row>
    <row r="220" spans="1:11" s="246" customFormat="1" ht="14.25" customHeight="1">
      <c r="A220" s="298"/>
      <c r="B220" s="80"/>
      <c r="C220" s="269"/>
      <c r="D220" s="247"/>
      <c r="E220" s="324"/>
      <c r="F220" s="337"/>
      <c r="G220" s="338"/>
      <c r="H220" s="339"/>
      <c r="I220" s="47"/>
      <c r="J220" s="245"/>
      <c r="K220" s="245"/>
    </row>
    <row r="221" spans="1:11" s="246" customFormat="1" ht="14.25" customHeight="1">
      <c r="A221" s="243"/>
      <c r="B221" s="20">
        <v>80110</v>
      </c>
      <c r="C221" s="335"/>
      <c r="D221" s="211" t="s">
        <v>75</v>
      </c>
      <c r="E221" s="72">
        <f>SUM(E222:E225)</f>
        <v>145069</v>
      </c>
      <c r="F221" s="175">
        <f>SUM(F222:F225)</f>
        <v>79785.75</v>
      </c>
      <c r="G221" s="175">
        <f>SUM(G222:G225)</f>
        <v>9786.07</v>
      </c>
      <c r="H221" s="175">
        <f>SUM(H222:H225)</f>
        <v>69999.68</v>
      </c>
      <c r="I221" s="54">
        <f>SUM(F221/E221)</f>
        <v>0.55</v>
      </c>
      <c r="J221" s="245"/>
      <c r="K221" s="245"/>
    </row>
    <row r="222" spans="1:11" s="246" customFormat="1" ht="31.5" customHeight="1">
      <c r="A222" s="298"/>
      <c r="B222" s="20"/>
      <c r="C222" s="336" t="s">
        <v>67</v>
      </c>
      <c r="D222" s="70" t="s">
        <v>16</v>
      </c>
      <c r="E222" s="72">
        <v>7500</v>
      </c>
      <c r="F222" s="175">
        <f>G222+H222</f>
        <v>7500</v>
      </c>
      <c r="G222" s="267">
        <v>7500</v>
      </c>
      <c r="H222" s="268"/>
      <c r="I222" s="54">
        <f>SUM(F222/E222)</f>
        <v>1</v>
      </c>
      <c r="J222" s="245"/>
      <c r="K222" s="245"/>
    </row>
    <row r="223" spans="1:11" s="246" customFormat="1" ht="40.5" customHeight="1">
      <c r="A223" s="298"/>
      <c r="B223" s="20"/>
      <c r="C223" s="336" t="s">
        <v>38</v>
      </c>
      <c r="D223" s="70" t="s">
        <v>39</v>
      </c>
      <c r="E223" s="72">
        <v>2287</v>
      </c>
      <c r="F223" s="175">
        <f>SUM(G223:H223)</f>
        <v>2286.07</v>
      </c>
      <c r="G223" s="267">
        <v>2286.07</v>
      </c>
      <c r="H223" s="268"/>
      <c r="I223" s="54">
        <f>SUM(F223/E223)</f>
        <v>0.9996</v>
      </c>
      <c r="J223" s="245"/>
      <c r="K223" s="245"/>
    </row>
    <row r="224" spans="1:11" s="246" customFormat="1" ht="45.75" customHeight="1">
      <c r="A224" s="298"/>
      <c r="B224" s="20"/>
      <c r="C224" s="336" t="s">
        <v>9</v>
      </c>
      <c r="D224" s="70" t="s">
        <v>258</v>
      </c>
      <c r="E224" s="72">
        <v>65282</v>
      </c>
      <c r="F224" s="175">
        <f>SUM(G224:H224)</f>
        <v>0</v>
      </c>
      <c r="G224" s="267"/>
      <c r="H224" s="268"/>
      <c r="I224" s="54">
        <f>SUM(F224/E224)</f>
        <v>0</v>
      </c>
      <c r="J224" s="245"/>
      <c r="K224" s="245"/>
    </row>
    <row r="225" spans="1:11" s="246" customFormat="1" ht="38.25">
      <c r="A225" s="243"/>
      <c r="B225" s="21"/>
      <c r="C225" s="336" t="s">
        <v>207</v>
      </c>
      <c r="D225" s="70" t="s">
        <v>151</v>
      </c>
      <c r="E225" s="73">
        <v>70000</v>
      </c>
      <c r="F225" s="175">
        <f>SUM(G225:H225)</f>
        <v>69999.68</v>
      </c>
      <c r="G225" s="290"/>
      <c r="H225" s="291">
        <v>69999.68</v>
      </c>
      <c r="I225" s="54">
        <f>SUM(F225/E225)</f>
        <v>1</v>
      </c>
      <c r="J225" s="245"/>
      <c r="K225" s="245"/>
    </row>
    <row r="226" spans="1:11" s="246" customFormat="1" ht="12.75">
      <c r="A226" s="243"/>
      <c r="B226" s="20"/>
      <c r="C226" s="340"/>
      <c r="D226" s="78"/>
      <c r="E226" s="210"/>
      <c r="F226" s="252"/>
      <c r="G226" s="305"/>
      <c r="H226" s="284"/>
      <c r="I226" s="82"/>
      <c r="J226" s="245"/>
      <c r="K226" s="245"/>
    </row>
    <row r="227" spans="1:11" s="246" customFormat="1" ht="17.25" customHeight="1">
      <c r="A227" s="243"/>
      <c r="B227" s="20">
        <v>80146</v>
      </c>
      <c r="C227" s="336"/>
      <c r="D227" s="70" t="s">
        <v>57</v>
      </c>
      <c r="E227" s="72">
        <f>SUM(E228)</f>
        <v>773</v>
      </c>
      <c r="F227" s="175">
        <f>SUM(F228)</f>
        <v>773</v>
      </c>
      <c r="G227" s="267">
        <f>SUM(G228)</f>
        <v>773</v>
      </c>
      <c r="H227" s="268">
        <f>SUM(H228)</f>
        <v>0</v>
      </c>
      <c r="I227" s="54">
        <f>SUM(F227/E227)</f>
        <v>1</v>
      </c>
      <c r="J227" s="245"/>
      <c r="K227" s="245"/>
    </row>
    <row r="228" spans="1:11" s="246" customFormat="1" ht="35.25" customHeight="1">
      <c r="A228" s="298"/>
      <c r="B228" s="21"/>
      <c r="C228" s="336" t="s">
        <v>105</v>
      </c>
      <c r="D228" s="285" t="s">
        <v>198</v>
      </c>
      <c r="E228" s="72">
        <v>773</v>
      </c>
      <c r="F228" s="175">
        <f>SUM(G228:H228)</f>
        <v>773</v>
      </c>
      <c r="G228" s="267">
        <v>773</v>
      </c>
      <c r="H228" s="268"/>
      <c r="I228" s="65">
        <f>SUM(F228/E228)</f>
        <v>1</v>
      </c>
      <c r="J228" s="245"/>
      <c r="K228" s="245"/>
    </row>
    <row r="229" spans="1:11" s="246" customFormat="1" ht="12.75">
      <c r="A229" s="243"/>
      <c r="B229" s="20"/>
      <c r="C229" s="340"/>
      <c r="D229" s="78"/>
      <c r="E229" s="210"/>
      <c r="F229" s="252"/>
      <c r="G229" s="305"/>
      <c r="H229" s="284"/>
      <c r="I229" s="82"/>
      <c r="J229" s="245"/>
      <c r="K229" s="245"/>
    </row>
    <row r="230" spans="1:11" s="246" customFormat="1" ht="18" customHeight="1">
      <c r="A230" s="243"/>
      <c r="B230" s="20">
        <v>80195</v>
      </c>
      <c r="C230" s="341"/>
      <c r="D230" s="70" t="s">
        <v>68</v>
      </c>
      <c r="E230" s="72">
        <f>SUM(E231)+E232</f>
        <v>286609</v>
      </c>
      <c r="F230" s="175">
        <f>SUM(F231)+F232</f>
        <v>286609</v>
      </c>
      <c r="G230" s="175">
        <f>SUM(G231)+G232</f>
        <v>286609</v>
      </c>
      <c r="H230" s="175">
        <f>SUM(H231)+H232</f>
        <v>0</v>
      </c>
      <c r="I230" s="54">
        <f>SUM(F230/E230)</f>
        <v>1</v>
      </c>
      <c r="J230" s="245"/>
      <c r="K230" s="245"/>
    </row>
    <row r="231" spans="1:11" s="246" customFormat="1" ht="36.75" customHeight="1">
      <c r="A231" s="243"/>
      <c r="B231" s="20"/>
      <c r="C231" s="341" t="s">
        <v>115</v>
      </c>
      <c r="D231" s="70" t="s">
        <v>102</v>
      </c>
      <c r="E231" s="72">
        <v>286608</v>
      </c>
      <c r="F231" s="175">
        <f>SUM(G231:H231)</f>
        <v>286608</v>
      </c>
      <c r="G231" s="267">
        <v>286608</v>
      </c>
      <c r="H231" s="268"/>
      <c r="I231" s="65">
        <f>SUM(F231/E231)</f>
        <v>1</v>
      </c>
      <c r="J231" s="245"/>
      <c r="K231" s="245"/>
    </row>
    <row r="232" spans="1:11" s="165" customFormat="1" ht="36.75" customHeight="1" thickBot="1">
      <c r="A232" s="275"/>
      <c r="B232" s="276"/>
      <c r="C232" s="342">
        <v>2910</v>
      </c>
      <c r="D232" s="277" t="s">
        <v>110</v>
      </c>
      <c r="E232" s="302">
        <v>1</v>
      </c>
      <c r="F232" s="279">
        <f>SUM(G232:H232)</f>
        <v>1</v>
      </c>
      <c r="G232" s="279">
        <v>1</v>
      </c>
      <c r="H232" s="279"/>
      <c r="I232" s="68">
        <f>SUM(F232/E232)</f>
        <v>1</v>
      </c>
      <c r="J232" s="166"/>
      <c r="K232" s="166"/>
    </row>
    <row r="233" spans="1:11" s="246" customFormat="1" ht="14.25" customHeight="1" thickTop="1">
      <c r="A233" s="243"/>
      <c r="B233" s="310"/>
      <c r="C233" s="269"/>
      <c r="D233" s="247"/>
      <c r="E233" s="191"/>
      <c r="F233" s="284"/>
      <c r="G233" s="305"/>
      <c r="H233" s="284"/>
      <c r="I233" s="82"/>
      <c r="J233" s="245"/>
      <c r="K233" s="245"/>
    </row>
    <row r="234" spans="1:11" s="246" customFormat="1" ht="20.25" customHeight="1">
      <c r="A234" s="243">
        <v>851</v>
      </c>
      <c r="B234" s="310"/>
      <c r="C234" s="335"/>
      <c r="D234" s="211" t="s">
        <v>280</v>
      </c>
      <c r="E234" s="72">
        <f>E236</f>
        <v>3288</v>
      </c>
      <c r="F234" s="175">
        <f>F236</f>
        <v>4053.23</v>
      </c>
      <c r="G234" s="175">
        <f>G236</f>
        <v>2981.23</v>
      </c>
      <c r="H234" s="175">
        <f>H236</f>
        <v>1072</v>
      </c>
      <c r="I234" s="54">
        <f>SUM(F234/E234)</f>
        <v>1.2327</v>
      </c>
      <c r="J234" s="245"/>
      <c r="K234" s="245"/>
    </row>
    <row r="235" spans="1:11" s="246" customFormat="1" ht="14.25" customHeight="1">
      <c r="A235" s="243"/>
      <c r="B235" s="20"/>
      <c r="C235" s="122"/>
      <c r="D235" s="247"/>
      <c r="E235" s="210"/>
      <c r="F235" s="209"/>
      <c r="G235" s="329"/>
      <c r="H235" s="209"/>
      <c r="I235" s="82"/>
      <c r="J235" s="245"/>
      <c r="K235" s="245"/>
    </row>
    <row r="236" spans="1:11" s="246" customFormat="1" ht="20.25" customHeight="1">
      <c r="A236" s="243"/>
      <c r="B236" s="20">
        <v>85195</v>
      </c>
      <c r="C236" s="343"/>
      <c r="D236" s="211" t="s">
        <v>68</v>
      </c>
      <c r="E236" s="72">
        <f>SUM(E237:E240)</f>
        <v>3288</v>
      </c>
      <c r="F236" s="175">
        <f>SUM(F237:F240)</f>
        <v>4053.23</v>
      </c>
      <c r="G236" s="175">
        <f>SUM(G237:G240)</f>
        <v>2981.23</v>
      </c>
      <c r="H236" s="175">
        <f>SUM(H237:H240)</f>
        <v>1072</v>
      </c>
      <c r="I236" s="54">
        <f>SUM(F236/E236)</f>
        <v>1.2327</v>
      </c>
      <c r="J236" s="245"/>
      <c r="K236" s="245"/>
    </row>
    <row r="237" spans="1:11" s="246" customFormat="1" ht="38.25">
      <c r="A237" s="243"/>
      <c r="B237" s="20"/>
      <c r="C237" s="344" t="s">
        <v>150</v>
      </c>
      <c r="D237" s="66" t="s">
        <v>112</v>
      </c>
      <c r="E237" s="73">
        <v>1508</v>
      </c>
      <c r="F237" s="175">
        <f>SUM(G237:H237)</f>
        <v>1200.8</v>
      </c>
      <c r="G237" s="267">
        <v>1200.8</v>
      </c>
      <c r="H237" s="268"/>
      <c r="I237" s="54">
        <f>SUM(F237/E237)</f>
        <v>0.7963</v>
      </c>
      <c r="J237" s="245"/>
      <c r="K237" s="245"/>
    </row>
    <row r="238" spans="1:11" s="165" customFormat="1" ht="31.5" customHeight="1">
      <c r="A238" s="180"/>
      <c r="B238" s="55"/>
      <c r="C238" s="345" t="s">
        <v>106</v>
      </c>
      <c r="D238" s="346" t="s">
        <v>107</v>
      </c>
      <c r="E238" s="266">
        <v>0</v>
      </c>
      <c r="F238" s="205">
        <f>SUM(G238:H238)</f>
        <v>1072</v>
      </c>
      <c r="G238" s="347"/>
      <c r="H238" s="348">
        <v>1072</v>
      </c>
      <c r="I238" s="54"/>
      <c r="J238" s="166"/>
      <c r="K238" s="166"/>
    </row>
    <row r="239" spans="1:11" s="246" customFormat="1" ht="31.5" customHeight="1">
      <c r="A239" s="243"/>
      <c r="B239" s="20"/>
      <c r="C239" s="349" t="s">
        <v>126</v>
      </c>
      <c r="D239" s="66" t="s">
        <v>163</v>
      </c>
      <c r="E239" s="73">
        <v>8</v>
      </c>
      <c r="F239" s="175">
        <f>SUM(G239:H239)</f>
        <v>8.1</v>
      </c>
      <c r="G239" s="308">
        <v>8.1</v>
      </c>
      <c r="H239" s="309"/>
      <c r="I239" s="65">
        <f>SUM(F239/E239)</f>
        <v>1.0125</v>
      </c>
      <c r="J239" s="245"/>
      <c r="K239" s="245"/>
    </row>
    <row r="240" spans="1:11" s="165" customFormat="1" ht="31.5" customHeight="1" thickBot="1">
      <c r="A240" s="275"/>
      <c r="B240" s="276"/>
      <c r="C240" s="342">
        <v>2910</v>
      </c>
      <c r="D240" s="277" t="s">
        <v>110</v>
      </c>
      <c r="E240" s="302">
        <v>1772</v>
      </c>
      <c r="F240" s="279">
        <f>SUM(G240:H240)</f>
        <v>1772.33</v>
      </c>
      <c r="G240" s="279">
        <v>1772.33</v>
      </c>
      <c r="H240" s="279"/>
      <c r="I240" s="68">
        <f>SUM(F240/E240)</f>
        <v>1.0002</v>
      </c>
      <c r="J240" s="166"/>
      <c r="K240" s="166"/>
    </row>
    <row r="241" spans="1:11" s="246" customFormat="1" ht="14.25" customHeight="1" thickTop="1">
      <c r="A241" s="243"/>
      <c r="B241" s="310"/>
      <c r="C241" s="350"/>
      <c r="D241" s="102"/>
      <c r="E241" s="210"/>
      <c r="F241" s="252"/>
      <c r="G241" s="305"/>
      <c r="H241" s="284"/>
      <c r="I241" s="82"/>
      <c r="J241" s="245"/>
      <c r="K241" s="245"/>
    </row>
    <row r="242" spans="1:11" s="246" customFormat="1" ht="14.25" customHeight="1">
      <c r="A242" s="243">
        <v>852</v>
      </c>
      <c r="B242" s="244"/>
      <c r="C242" s="335"/>
      <c r="D242" s="211" t="s">
        <v>116</v>
      </c>
      <c r="E242" s="351">
        <f>E252+E259+E244+E248+E255</f>
        <v>1619359</v>
      </c>
      <c r="F242" s="175">
        <f>F252+F259+F244+F248+F255</f>
        <v>1658546.87</v>
      </c>
      <c r="G242" s="175">
        <f>G252+G259+G244+G248+G255</f>
        <v>1658546.87</v>
      </c>
      <c r="H242" s="175">
        <f>H252+H259+H244+H248+H255</f>
        <v>0</v>
      </c>
      <c r="I242" s="54">
        <f>SUM(F242/E242)</f>
        <v>1.0242</v>
      </c>
      <c r="J242" s="245"/>
      <c r="K242" s="245"/>
    </row>
    <row r="243" spans="1:11" s="246" customFormat="1" ht="14.25" customHeight="1">
      <c r="A243" s="243"/>
      <c r="B243" s="20">
        <v>85212</v>
      </c>
      <c r="C243" s="122"/>
      <c r="D243" s="247" t="s">
        <v>25</v>
      </c>
      <c r="E243" s="210"/>
      <c r="F243" s="209"/>
      <c r="G243" s="209"/>
      <c r="H243" s="209"/>
      <c r="I243" s="82"/>
      <c r="J243" s="245"/>
      <c r="K243" s="245"/>
    </row>
    <row r="244" spans="1:11" s="246" customFormat="1" ht="14.25" customHeight="1">
      <c r="A244" s="243"/>
      <c r="B244" s="310"/>
      <c r="C244" s="335"/>
      <c r="D244" s="211" t="s">
        <v>26</v>
      </c>
      <c r="E244" s="72">
        <f>SUM(E246)</f>
        <v>40000</v>
      </c>
      <c r="F244" s="175">
        <f>SUM(F246)</f>
        <v>51344.95</v>
      </c>
      <c r="G244" s="175">
        <f>SUM(G246)</f>
        <v>51344.95</v>
      </c>
      <c r="H244" s="175">
        <f>SUM(H246)</f>
        <v>0</v>
      </c>
      <c r="I244" s="54"/>
      <c r="J244" s="245"/>
      <c r="K244" s="245"/>
    </row>
    <row r="245" spans="1:11" s="246" customFormat="1" ht="20.25" customHeight="1">
      <c r="A245" s="243"/>
      <c r="B245" s="310"/>
      <c r="C245" s="352">
        <v>2360</v>
      </c>
      <c r="D245" s="626" t="s">
        <v>86</v>
      </c>
      <c r="E245" s="202"/>
      <c r="F245" s="196"/>
      <c r="G245" s="197"/>
      <c r="H245" s="196"/>
      <c r="I245" s="99"/>
      <c r="J245" s="245"/>
      <c r="K245" s="245"/>
    </row>
    <row r="246" spans="1:11" s="246" customFormat="1" ht="14.25" customHeight="1">
      <c r="A246" s="243"/>
      <c r="B246" s="244"/>
      <c r="C246" s="335"/>
      <c r="D246" s="627"/>
      <c r="E246" s="353">
        <v>40000</v>
      </c>
      <c r="F246" s="268">
        <f>SUM(G246:H246)</f>
        <v>51344.95</v>
      </c>
      <c r="G246" s="267">
        <v>51344.95</v>
      </c>
      <c r="H246" s="268"/>
      <c r="I246" s="54">
        <f>SUM(F246/E246)</f>
        <v>1.2836</v>
      </c>
      <c r="J246" s="245"/>
      <c r="K246" s="245"/>
    </row>
    <row r="247" spans="1:11" s="246" customFormat="1" ht="14.25" customHeight="1">
      <c r="A247" s="243"/>
      <c r="B247" s="20"/>
      <c r="C247" s="122"/>
      <c r="D247" s="247"/>
      <c r="E247" s="191"/>
      <c r="F247" s="284"/>
      <c r="G247" s="305"/>
      <c r="H247" s="284"/>
      <c r="I247" s="82"/>
      <c r="J247" s="245"/>
      <c r="K247" s="245"/>
    </row>
    <row r="248" spans="1:11" s="246" customFormat="1" ht="14.25" customHeight="1">
      <c r="A248" s="243"/>
      <c r="B248" s="20">
        <v>85214</v>
      </c>
      <c r="C248" s="343"/>
      <c r="D248" s="211" t="s">
        <v>257</v>
      </c>
      <c r="E248" s="353">
        <f>SUM(E249:E250)</f>
        <v>356018</v>
      </c>
      <c r="F248" s="268">
        <f>SUM(F249:F250)</f>
        <v>354467.08</v>
      </c>
      <c r="G248" s="268">
        <f>SUM(G249:G250)</f>
        <v>354467.08</v>
      </c>
      <c r="H248" s="268">
        <f>SUM(H249:H250)</f>
        <v>0</v>
      </c>
      <c r="I248" s="54">
        <f aca="true" t="shared" si="11" ref="I248:I256">SUM(F248/E248)</f>
        <v>0.9956</v>
      </c>
      <c r="J248" s="245"/>
      <c r="K248" s="245"/>
    </row>
    <row r="249" spans="1:11" s="246" customFormat="1" ht="31.5" customHeight="1">
      <c r="A249" s="243"/>
      <c r="B249" s="20"/>
      <c r="C249" s="354" t="s">
        <v>127</v>
      </c>
      <c r="D249" s="66" t="s">
        <v>156</v>
      </c>
      <c r="E249" s="355">
        <v>5000</v>
      </c>
      <c r="F249" s="290">
        <f>SUM(G249:H249)</f>
        <v>4759.92</v>
      </c>
      <c r="G249" s="290">
        <v>4759.92</v>
      </c>
      <c r="H249" s="291"/>
      <c r="I249" s="65">
        <f t="shared" si="11"/>
        <v>0.952</v>
      </c>
      <c r="J249" s="245"/>
      <c r="K249" s="245"/>
    </row>
    <row r="250" spans="1:11" s="246" customFormat="1" ht="31.5" customHeight="1" thickBot="1">
      <c r="A250" s="554"/>
      <c r="B250" s="405"/>
      <c r="C250" s="558">
        <v>2030</v>
      </c>
      <c r="D250" s="90" t="s">
        <v>102</v>
      </c>
      <c r="E250" s="559">
        <v>351018</v>
      </c>
      <c r="F250" s="544">
        <f>SUM(G250:H250)</f>
        <v>349707.16</v>
      </c>
      <c r="G250" s="544">
        <v>349707.16</v>
      </c>
      <c r="H250" s="545"/>
      <c r="I250" s="139">
        <f t="shared" si="11"/>
        <v>0.9963</v>
      </c>
      <c r="J250" s="245"/>
      <c r="K250" s="245"/>
    </row>
    <row r="251" spans="1:11" s="172" customFormat="1" ht="14.25" customHeight="1">
      <c r="A251" s="546">
        <v>1</v>
      </c>
      <c r="B251" s="92">
        <v>2</v>
      </c>
      <c r="C251" s="547">
        <v>3</v>
      </c>
      <c r="D251" s="92">
        <v>4</v>
      </c>
      <c r="E251" s="547">
        <v>5</v>
      </c>
      <c r="F251" s="548">
        <v>6</v>
      </c>
      <c r="G251" s="539">
        <v>7</v>
      </c>
      <c r="H251" s="548">
        <v>8</v>
      </c>
      <c r="I251" s="541">
        <v>9</v>
      </c>
      <c r="J251" s="171"/>
      <c r="K251" s="171"/>
    </row>
    <row r="252" spans="1:11" s="246" customFormat="1" ht="31.5" customHeight="1">
      <c r="A252" s="243"/>
      <c r="B252" s="20">
        <v>85219</v>
      </c>
      <c r="C252" s="343"/>
      <c r="D252" s="211" t="s">
        <v>124</v>
      </c>
      <c r="E252" s="72">
        <f>SUM(E253:E254)</f>
        <v>606651</v>
      </c>
      <c r="F252" s="175">
        <f>SUM(F253:F254)</f>
        <v>606686.6</v>
      </c>
      <c r="G252" s="175">
        <f>SUM(G253:G254)</f>
        <v>606686.6</v>
      </c>
      <c r="H252" s="175">
        <f>SUM(H253:H254)</f>
        <v>0</v>
      </c>
      <c r="I252" s="54">
        <f t="shared" si="11"/>
        <v>1.0001</v>
      </c>
      <c r="J252" s="245"/>
      <c r="K252" s="245"/>
    </row>
    <row r="253" spans="1:11" s="246" customFormat="1" ht="31.5" customHeight="1">
      <c r="A253" s="243"/>
      <c r="B253" s="20"/>
      <c r="C253" s="336" t="s">
        <v>127</v>
      </c>
      <c r="D253" s="66" t="s">
        <v>156</v>
      </c>
      <c r="E253" s="72">
        <v>26</v>
      </c>
      <c r="F253" s="309">
        <f>SUM(G253:H253)</f>
        <v>61.6</v>
      </c>
      <c r="G253" s="290">
        <v>61.6</v>
      </c>
      <c r="H253" s="291"/>
      <c r="I253" s="54">
        <f t="shared" si="11"/>
        <v>2.3692</v>
      </c>
      <c r="J253" s="245"/>
      <c r="K253" s="245"/>
    </row>
    <row r="254" spans="1:11" s="246" customFormat="1" ht="31.5" customHeight="1">
      <c r="A254" s="243"/>
      <c r="B254" s="21"/>
      <c r="C254" s="344" t="s">
        <v>115</v>
      </c>
      <c r="D254" s="70" t="s">
        <v>102</v>
      </c>
      <c r="E254" s="72">
        <v>606625</v>
      </c>
      <c r="F254" s="38">
        <f>SUM(G254:H254)</f>
        <v>606625</v>
      </c>
      <c r="G254" s="38">
        <v>606625</v>
      </c>
      <c r="H254" s="38"/>
      <c r="I254" s="54">
        <f t="shared" si="11"/>
        <v>1</v>
      </c>
      <c r="J254" s="245"/>
      <c r="K254" s="245"/>
    </row>
    <row r="255" spans="1:11" s="246" customFormat="1" ht="31.5" customHeight="1">
      <c r="A255" s="243"/>
      <c r="B255" s="20">
        <v>85228</v>
      </c>
      <c r="C255" s="343"/>
      <c r="D255" s="211" t="s">
        <v>120</v>
      </c>
      <c r="E255" s="353">
        <f>SUM(E256:E258)</f>
        <v>36350</v>
      </c>
      <c r="F255" s="268">
        <f>SUM(F256:F258)</f>
        <v>65708.49</v>
      </c>
      <c r="G255" s="268">
        <f>SUM(G256:G258)</f>
        <v>65708.49</v>
      </c>
      <c r="H255" s="268">
        <f>SUM(H256:H258)</f>
        <v>0</v>
      </c>
      <c r="I255" s="54">
        <f t="shared" si="11"/>
        <v>1.8077</v>
      </c>
      <c r="J255" s="245"/>
      <c r="K255" s="245"/>
    </row>
    <row r="256" spans="1:11" s="246" customFormat="1" ht="31.5" customHeight="1">
      <c r="A256" s="243"/>
      <c r="B256" s="20"/>
      <c r="C256" s="358" t="s">
        <v>148</v>
      </c>
      <c r="D256" s="94" t="s">
        <v>161</v>
      </c>
      <c r="E256" s="357">
        <v>36000</v>
      </c>
      <c r="F256" s="267">
        <f>SUM(G256:H256)</f>
        <v>65480.24</v>
      </c>
      <c r="G256" s="267">
        <v>65480.24</v>
      </c>
      <c r="H256" s="268"/>
      <c r="I256" s="54">
        <f t="shared" si="11"/>
        <v>1.8189</v>
      </c>
      <c r="J256" s="245"/>
      <c r="K256" s="245"/>
    </row>
    <row r="257" spans="1:11" s="246" customFormat="1" ht="31.5" customHeight="1">
      <c r="A257" s="243"/>
      <c r="B257" s="20"/>
      <c r="C257" s="352">
        <v>2360</v>
      </c>
      <c r="D257" s="626" t="s">
        <v>86</v>
      </c>
      <c r="E257" s="359"/>
      <c r="F257" s="197"/>
      <c r="G257" s="197"/>
      <c r="H257" s="197"/>
      <c r="I257" s="99"/>
      <c r="J257" s="245"/>
      <c r="K257" s="245"/>
    </row>
    <row r="258" spans="1:11" s="246" customFormat="1" ht="31.5" customHeight="1">
      <c r="A258" s="243"/>
      <c r="B258" s="21"/>
      <c r="C258" s="335"/>
      <c r="D258" s="627"/>
      <c r="E258" s="360">
        <v>350</v>
      </c>
      <c r="F258" s="267">
        <f>SUM(G258:H258)</f>
        <v>228.25</v>
      </c>
      <c r="G258" s="267">
        <v>228.25</v>
      </c>
      <c r="H258" s="267"/>
      <c r="I258" s="54">
        <f>F258/E258</f>
        <v>0.6521</v>
      </c>
      <c r="J258" s="245"/>
      <c r="K258" s="245"/>
    </row>
    <row r="259" spans="1:11" s="246" customFormat="1" ht="31.5" customHeight="1">
      <c r="A259" s="243"/>
      <c r="B259" s="20">
        <v>85295</v>
      </c>
      <c r="C259" s="335"/>
      <c r="D259" s="211" t="s">
        <v>68</v>
      </c>
      <c r="E259" s="72">
        <f>SUM(E260:E261)</f>
        <v>580340</v>
      </c>
      <c r="F259" s="175">
        <f>SUM(F260:F261)</f>
        <v>580339.75</v>
      </c>
      <c r="G259" s="175">
        <f>SUM(G260:G261)</f>
        <v>580339.75</v>
      </c>
      <c r="H259" s="175">
        <f>SUM(H260:H261)</f>
        <v>0</v>
      </c>
      <c r="I259" s="54">
        <f>SUM(F259/E259)</f>
        <v>1</v>
      </c>
      <c r="J259" s="245"/>
      <c r="K259" s="245"/>
    </row>
    <row r="260" spans="1:11" s="246" customFormat="1" ht="31.5" customHeight="1">
      <c r="A260" s="243"/>
      <c r="B260" s="20"/>
      <c r="C260" s="344" t="s">
        <v>127</v>
      </c>
      <c r="D260" s="78" t="s">
        <v>156</v>
      </c>
      <c r="E260" s="72">
        <v>340</v>
      </c>
      <c r="F260" s="175">
        <f>SUM(G260:H260)</f>
        <v>339.75</v>
      </c>
      <c r="G260" s="175">
        <v>339.75</v>
      </c>
      <c r="H260" s="175"/>
      <c r="I260" s="54">
        <f>SUM(F260/E260)</f>
        <v>0.9993</v>
      </c>
      <c r="J260" s="245"/>
      <c r="K260" s="245"/>
    </row>
    <row r="261" spans="1:11" s="246" customFormat="1" ht="31.5" customHeight="1" thickBot="1">
      <c r="A261" s="301"/>
      <c r="B261" s="113"/>
      <c r="C261" s="361" t="s">
        <v>115</v>
      </c>
      <c r="D261" s="76" t="s">
        <v>102</v>
      </c>
      <c r="E261" s="362">
        <v>580000</v>
      </c>
      <c r="F261" s="363">
        <f>SUM(G261:H261)</f>
        <v>580000</v>
      </c>
      <c r="G261" s="296">
        <v>580000</v>
      </c>
      <c r="H261" s="297"/>
      <c r="I261" s="68">
        <f>SUM(F261/E261)</f>
        <v>1</v>
      </c>
      <c r="J261" s="245"/>
      <c r="K261" s="245"/>
    </row>
    <row r="262" spans="1:11" s="369" customFormat="1" ht="14.25" customHeight="1" thickTop="1">
      <c r="A262" s="163"/>
      <c r="B262" s="51"/>
      <c r="C262" s="164"/>
      <c r="D262" s="51"/>
      <c r="E262" s="364"/>
      <c r="F262" s="365"/>
      <c r="G262" s="366"/>
      <c r="H262" s="367"/>
      <c r="I262" s="82"/>
      <c r="J262" s="368"/>
      <c r="K262" s="368"/>
    </row>
    <row r="263" spans="1:11" s="246" customFormat="1" ht="14.25" customHeight="1">
      <c r="A263" s="243">
        <v>853</v>
      </c>
      <c r="B263" s="244"/>
      <c r="C263" s="335"/>
      <c r="D263" s="211" t="s">
        <v>208</v>
      </c>
      <c r="E263" s="72">
        <f>SUM(E265)</f>
        <v>526268</v>
      </c>
      <c r="F263" s="175">
        <f>SUM(F265)</f>
        <v>379050.92</v>
      </c>
      <c r="G263" s="175">
        <f>SUM(G265)</f>
        <v>379050.92</v>
      </c>
      <c r="H263" s="175">
        <f>SUM(H265)</f>
        <v>0</v>
      </c>
      <c r="I263" s="54">
        <f>SUM(F263/E263)</f>
        <v>0.7203</v>
      </c>
      <c r="J263" s="245"/>
      <c r="K263" s="245"/>
    </row>
    <row r="264" spans="1:11" s="246" customFormat="1" ht="12.75">
      <c r="A264" s="243"/>
      <c r="B264" s="20"/>
      <c r="C264" s="122"/>
      <c r="D264" s="78"/>
      <c r="E264" s="210"/>
      <c r="F264" s="252"/>
      <c r="G264" s="305"/>
      <c r="H264" s="284"/>
      <c r="I264" s="82"/>
      <c r="J264" s="245"/>
      <c r="K264" s="245"/>
    </row>
    <row r="265" spans="1:11" s="246" customFormat="1" ht="12.75">
      <c r="A265" s="243"/>
      <c r="B265" s="20">
        <v>85395</v>
      </c>
      <c r="C265" s="343"/>
      <c r="D265" s="70" t="s">
        <v>68</v>
      </c>
      <c r="E265" s="72">
        <f>SUM(E266:E269)</f>
        <v>526268</v>
      </c>
      <c r="F265" s="175">
        <f>SUM(F266:F269)</f>
        <v>379050.92</v>
      </c>
      <c r="G265" s="175">
        <f>SUM(G266:G269)</f>
        <v>379050.92</v>
      </c>
      <c r="H265" s="175"/>
      <c r="I265" s="54">
        <f>SUM(F265/E265)</f>
        <v>0.7203</v>
      </c>
      <c r="J265" s="245"/>
      <c r="K265" s="245"/>
    </row>
    <row r="266" spans="1:11" s="165" customFormat="1" ht="31.5" customHeight="1">
      <c r="A266" s="180"/>
      <c r="B266" s="55"/>
      <c r="C266" s="370">
        <v>2008</v>
      </c>
      <c r="D266" s="287" t="s">
        <v>209</v>
      </c>
      <c r="E266" s="288">
        <v>429720</v>
      </c>
      <c r="F266" s="347">
        <f>SUM(G266:H266)</f>
        <v>304581.3</v>
      </c>
      <c r="G266" s="347">
        <f>880192.26-575610.96</f>
        <v>304581.3</v>
      </c>
      <c r="H266" s="371"/>
      <c r="I266" s="54">
        <f>SUM(F266/E266)</f>
        <v>0.7088</v>
      </c>
      <c r="J266" s="166"/>
      <c r="K266" s="166"/>
    </row>
    <row r="267" spans="1:11" s="165" customFormat="1" ht="31.5" customHeight="1">
      <c r="A267" s="180"/>
      <c r="B267" s="55"/>
      <c r="C267" s="372">
        <v>2009</v>
      </c>
      <c r="D267" s="287" t="s">
        <v>209</v>
      </c>
      <c r="E267" s="266">
        <v>75828</v>
      </c>
      <c r="F267" s="347">
        <f>SUM(G267:H267)</f>
        <v>53749.62</v>
      </c>
      <c r="G267" s="373">
        <f>87617.56-33867.94</f>
        <v>53749.62</v>
      </c>
      <c r="H267" s="374"/>
      <c r="I267" s="65">
        <f>SUM(F267/E267)</f>
        <v>0.7088</v>
      </c>
      <c r="J267" s="166"/>
      <c r="K267" s="166"/>
    </row>
    <row r="268" spans="1:11" s="165" customFormat="1" ht="38.25">
      <c r="A268" s="180"/>
      <c r="B268" s="55"/>
      <c r="C268" s="356">
        <v>2708</v>
      </c>
      <c r="D268" s="346" t="s">
        <v>258</v>
      </c>
      <c r="E268" s="266">
        <v>18282</v>
      </c>
      <c r="F268" s="299">
        <f>SUM(G268:H268)</f>
        <v>18282.35</v>
      </c>
      <c r="G268" s="373">
        <v>18282.35</v>
      </c>
      <c r="H268" s="373"/>
      <c r="I268" s="65">
        <f>SUM(F268/E268)</f>
        <v>1</v>
      </c>
      <c r="J268" s="166"/>
      <c r="K268" s="166"/>
    </row>
    <row r="269" spans="1:11" s="165" customFormat="1" ht="39" thickBot="1">
      <c r="A269" s="275"/>
      <c r="B269" s="276"/>
      <c r="C269" s="342">
        <v>2709</v>
      </c>
      <c r="D269" s="277" t="s">
        <v>258</v>
      </c>
      <c r="E269" s="302">
        <v>2438</v>
      </c>
      <c r="F269" s="279">
        <f>SUM(G269:H269)</f>
        <v>2437.65</v>
      </c>
      <c r="G269" s="280">
        <v>2437.65</v>
      </c>
      <c r="H269" s="280"/>
      <c r="I269" s="68">
        <f>SUM(F269/E269)</f>
        <v>0.9999</v>
      </c>
      <c r="J269" s="166"/>
      <c r="K269" s="166"/>
    </row>
    <row r="270" spans="1:11" s="369" customFormat="1" ht="14.25" customHeight="1" thickTop="1">
      <c r="A270" s="163"/>
      <c r="B270" s="51"/>
      <c r="C270" s="164"/>
      <c r="D270" s="51"/>
      <c r="E270" s="364"/>
      <c r="F270" s="365"/>
      <c r="G270" s="366"/>
      <c r="H270" s="367"/>
      <c r="I270" s="82"/>
      <c r="J270" s="368"/>
      <c r="K270" s="368"/>
    </row>
    <row r="271" spans="1:11" s="165" customFormat="1" ht="14.25" customHeight="1">
      <c r="A271" s="180">
        <v>854</v>
      </c>
      <c r="B271" s="375"/>
      <c r="C271" s="376"/>
      <c r="D271" s="285" t="s">
        <v>196</v>
      </c>
      <c r="E271" s="288">
        <f>SUM(E273)</f>
        <v>232340</v>
      </c>
      <c r="F271" s="205">
        <f>SUM(F273)</f>
        <v>183988.97</v>
      </c>
      <c r="G271" s="205">
        <f>SUM(G273)</f>
        <v>183988.97</v>
      </c>
      <c r="H271" s="205">
        <f>SUM(H273)</f>
        <v>0</v>
      </c>
      <c r="I271" s="54">
        <f>SUM(F271/E271)</f>
        <v>0.7919</v>
      </c>
      <c r="J271" s="166"/>
      <c r="K271" s="166"/>
    </row>
    <row r="272" spans="1:11" s="165" customFormat="1" ht="12.75">
      <c r="A272" s="180"/>
      <c r="B272" s="55"/>
      <c r="C272" s="377"/>
      <c r="D272" s="378"/>
      <c r="E272" s="293"/>
      <c r="F272" s="212"/>
      <c r="G272" s="379"/>
      <c r="H272" s="371"/>
      <c r="I272" s="82"/>
      <c r="J272" s="166"/>
      <c r="K272" s="166"/>
    </row>
    <row r="273" spans="1:11" s="165" customFormat="1" ht="12.75">
      <c r="A273" s="180"/>
      <c r="B273" s="55">
        <v>85415</v>
      </c>
      <c r="C273" s="370"/>
      <c r="D273" s="287" t="s">
        <v>103</v>
      </c>
      <c r="E273" s="288">
        <f>SUM(E274)</f>
        <v>232340</v>
      </c>
      <c r="F273" s="205">
        <f>SUM(F274)</f>
        <v>183988.97</v>
      </c>
      <c r="G273" s="205">
        <f>SUM(G274)</f>
        <v>183988.97</v>
      </c>
      <c r="H273" s="205">
        <f>SUM(H274)</f>
        <v>0</v>
      </c>
      <c r="I273" s="54">
        <f>SUM(F273/E273)</f>
        <v>0.7919</v>
      </c>
      <c r="J273" s="166"/>
      <c r="K273" s="166"/>
    </row>
    <row r="274" spans="1:11" s="165" customFormat="1" ht="26.25" thickBot="1">
      <c r="A274" s="275"/>
      <c r="B274" s="276"/>
      <c r="C274" s="342">
        <v>2030</v>
      </c>
      <c r="D274" s="380" t="s">
        <v>102</v>
      </c>
      <c r="E274" s="302">
        <v>232340</v>
      </c>
      <c r="F274" s="381">
        <f>SUM(G274:H274)</f>
        <v>183988.97</v>
      </c>
      <c r="G274" s="280">
        <v>183988.97</v>
      </c>
      <c r="H274" s="281"/>
      <c r="I274" s="68">
        <f>SUM(F274/E274)</f>
        <v>0.7919</v>
      </c>
      <c r="J274" s="166"/>
      <c r="K274" s="166"/>
    </row>
    <row r="275" spans="1:11" s="246" customFormat="1" ht="14.25" customHeight="1" thickTop="1">
      <c r="A275" s="243"/>
      <c r="B275" s="20"/>
      <c r="C275" s="269"/>
      <c r="D275" s="247"/>
      <c r="E275" s="210"/>
      <c r="F275" s="252"/>
      <c r="G275" s="305"/>
      <c r="H275" s="284"/>
      <c r="I275" s="82"/>
      <c r="J275" s="245"/>
      <c r="K275" s="245"/>
    </row>
    <row r="276" spans="1:11" s="246" customFormat="1" ht="14.25" customHeight="1">
      <c r="A276" s="243">
        <v>900</v>
      </c>
      <c r="B276" s="244"/>
      <c r="C276" s="335"/>
      <c r="D276" s="211" t="s">
        <v>152</v>
      </c>
      <c r="E276" s="72">
        <f>SUM(E278+E284+E288+E294+E296)+E291</f>
        <v>9402164</v>
      </c>
      <c r="F276" s="175">
        <f>SUM(F278+F284+F288+F294+F296)+F291</f>
        <v>8881046.01</v>
      </c>
      <c r="G276" s="175">
        <f>SUM(G278+G284+G288+G294+G296)+G291</f>
        <v>3029239.95</v>
      </c>
      <c r="H276" s="175">
        <f>SUM(H278+H284+H288+H294+H296)+H291</f>
        <v>5851806.06</v>
      </c>
      <c r="I276" s="54">
        <f>SUM(F276/E276)</f>
        <v>0.9446</v>
      </c>
      <c r="J276" s="245"/>
      <c r="K276" s="245"/>
    </row>
    <row r="277" spans="1:11" s="246" customFormat="1" ht="14.25" customHeight="1">
      <c r="A277" s="243"/>
      <c r="B277" s="20"/>
      <c r="C277" s="269"/>
      <c r="D277" s="247"/>
      <c r="E277" s="210"/>
      <c r="F277" s="209"/>
      <c r="G277" s="329"/>
      <c r="H277" s="209"/>
      <c r="I277" s="82"/>
      <c r="J277" s="245"/>
      <c r="K277" s="245"/>
    </row>
    <row r="278" spans="1:11" s="246" customFormat="1" ht="14.25" customHeight="1">
      <c r="A278" s="243"/>
      <c r="B278" s="20">
        <v>90001</v>
      </c>
      <c r="C278" s="335"/>
      <c r="D278" s="211" t="s">
        <v>95</v>
      </c>
      <c r="E278" s="72">
        <f>SUM(E279:E282)-E282</f>
        <v>4386873</v>
      </c>
      <c r="F278" s="175">
        <f>SUM(F279:F282)-F282</f>
        <v>4083722.95</v>
      </c>
      <c r="G278" s="175">
        <f>SUM(G279:G282)-G282</f>
        <v>6607.14</v>
      </c>
      <c r="H278" s="175">
        <f>SUM(H279:H282)-H282</f>
        <v>4077115.81</v>
      </c>
      <c r="I278" s="54">
        <f>SUM(F278/E278)</f>
        <v>0.9309</v>
      </c>
      <c r="J278" s="245"/>
      <c r="K278" s="245"/>
    </row>
    <row r="279" spans="1:11" s="246" customFormat="1" ht="31.5" customHeight="1">
      <c r="A279" s="243"/>
      <c r="B279" s="20"/>
      <c r="C279" s="344" t="s">
        <v>127</v>
      </c>
      <c r="D279" s="70" t="s">
        <v>156</v>
      </c>
      <c r="E279" s="72">
        <v>6607</v>
      </c>
      <c r="F279" s="309">
        <f>SUM(G279:H279)</f>
        <v>6607.14</v>
      </c>
      <c r="G279" s="175">
        <v>6607.14</v>
      </c>
      <c r="H279" s="175"/>
      <c r="I279" s="54">
        <f>SUM(F279/E279)</f>
        <v>1</v>
      </c>
      <c r="J279" s="382"/>
      <c r="K279" s="245"/>
    </row>
    <row r="280" spans="1:11" s="246" customFormat="1" ht="41.25" customHeight="1">
      <c r="A280" s="243"/>
      <c r="B280" s="20"/>
      <c r="C280" s="383">
        <v>6260</v>
      </c>
      <c r="D280" s="66" t="s">
        <v>151</v>
      </c>
      <c r="E280" s="73">
        <v>4080266</v>
      </c>
      <c r="F280" s="309">
        <f>SUM(G280:H280)</f>
        <v>4077115.81</v>
      </c>
      <c r="G280" s="290"/>
      <c r="H280" s="291">
        <v>4077115.81</v>
      </c>
      <c r="I280" s="54">
        <f>SUM(F280/E280)</f>
        <v>0.9992</v>
      </c>
      <c r="J280" s="382"/>
      <c r="K280" s="245"/>
    </row>
    <row r="281" spans="1:11" s="246" customFormat="1" ht="44.25" customHeight="1" thickBot="1">
      <c r="A281" s="554"/>
      <c r="B281" s="405"/>
      <c r="C281" s="560">
        <v>6269</v>
      </c>
      <c r="D281" s="90" t="s">
        <v>151</v>
      </c>
      <c r="E281" s="550">
        <v>300000</v>
      </c>
      <c r="F281" s="557">
        <f>SUM(G281:H281)</f>
        <v>0</v>
      </c>
      <c r="G281" s="535"/>
      <c r="H281" s="536"/>
      <c r="I281" s="139">
        <f>SUM(F281/E281)</f>
        <v>0</v>
      </c>
      <c r="J281" s="382"/>
      <c r="K281" s="245"/>
    </row>
    <row r="282" spans="1:11" s="172" customFormat="1" ht="14.25" customHeight="1">
      <c r="A282" s="546">
        <v>1</v>
      </c>
      <c r="B282" s="92">
        <v>2</v>
      </c>
      <c r="C282" s="547">
        <v>3</v>
      </c>
      <c r="D282" s="92">
        <v>4</v>
      </c>
      <c r="E282" s="547">
        <v>5</v>
      </c>
      <c r="F282" s="548">
        <v>6</v>
      </c>
      <c r="G282" s="539">
        <v>7</v>
      </c>
      <c r="H282" s="548">
        <v>8</v>
      </c>
      <c r="I282" s="541">
        <v>9</v>
      </c>
      <c r="J282" s="382"/>
      <c r="K282" s="171"/>
    </row>
    <row r="283" spans="1:11" s="246" customFormat="1" ht="14.25" customHeight="1">
      <c r="A283" s="243"/>
      <c r="B283" s="20"/>
      <c r="C283" s="269"/>
      <c r="D283" s="247"/>
      <c r="E283" s="210"/>
      <c r="F283" s="209"/>
      <c r="G283" s="193"/>
      <c r="H283" s="192"/>
      <c r="I283" s="82"/>
      <c r="J283" s="382"/>
      <c r="K283" s="245"/>
    </row>
    <row r="284" spans="1:11" s="246" customFormat="1" ht="12.75">
      <c r="A284" s="243"/>
      <c r="B284" s="20">
        <v>90002</v>
      </c>
      <c r="C284" s="335"/>
      <c r="D284" s="211" t="s">
        <v>76</v>
      </c>
      <c r="E284" s="72">
        <f>SUM(E285:E286)</f>
        <v>1016357</v>
      </c>
      <c r="F284" s="175">
        <f>SUM(F285:F286)</f>
        <v>966976.67</v>
      </c>
      <c r="G284" s="175">
        <f>SUM(G285:G286)</f>
        <v>16356.78</v>
      </c>
      <c r="H284" s="175">
        <f>SUM(H285:H286)</f>
        <v>950619.89</v>
      </c>
      <c r="I284" s="54">
        <f>SUM(F284/E284)</f>
        <v>0.9514</v>
      </c>
      <c r="J284" s="382"/>
      <c r="K284" s="245"/>
    </row>
    <row r="285" spans="1:11" s="246" customFormat="1" ht="32.25" customHeight="1">
      <c r="A285" s="243"/>
      <c r="B285" s="20"/>
      <c r="C285" s="335">
        <v>2440</v>
      </c>
      <c r="D285" s="70" t="s">
        <v>16</v>
      </c>
      <c r="E285" s="72">
        <v>16357</v>
      </c>
      <c r="F285" s="175">
        <f>SUM(G285:H285)</f>
        <v>16356.78</v>
      </c>
      <c r="G285" s="290">
        <v>16356.78</v>
      </c>
      <c r="H285" s="291"/>
      <c r="I285" s="54">
        <f>SUM(F285/E285)</f>
        <v>1</v>
      </c>
      <c r="J285" s="382"/>
      <c r="K285" s="245"/>
    </row>
    <row r="286" spans="1:11" s="246" customFormat="1" ht="43.5" customHeight="1">
      <c r="A286" s="243"/>
      <c r="B286" s="21"/>
      <c r="C286" s="335">
        <v>6260</v>
      </c>
      <c r="D286" s="70" t="s">
        <v>151</v>
      </c>
      <c r="E286" s="72">
        <v>1000000</v>
      </c>
      <c r="F286" s="175">
        <f>SUM(G286:H286)</f>
        <v>950619.89</v>
      </c>
      <c r="G286" s="290"/>
      <c r="H286" s="291">
        <v>950619.89</v>
      </c>
      <c r="I286" s="54">
        <f>SUM(F286/E286)</f>
        <v>0.9506</v>
      </c>
      <c r="J286" s="382"/>
      <c r="K286" s="245"/>
    </row>
    <row r="287" spans="1:11" s="246" customFormat="1" ht="12.75">
      <c r="A287" s="243"/>
      <c r="B287" s="20"/>
      <c r="C287" s="127"/>
      <c r="D287" s="78"/>
      <c r="E287" s="210"/>
      <c r="F287" s="252"/>
      <c r="G287" s="305"/>
      <c r="H287" s="284"/>
      <c r="I287" s="82"/>
      <c r="J287" s="382"/>
      <c r="K287" s="245"/>
    </row>
    <row r="288" spans="1:11" s="246" customFormat="1" ht="15.75" customHeight="1">
      <c r="A288" s="243"/>
      <c r="B288" s="20">
        <v>90004</v>
      </c>
      <c r="C288" s="384"/>
      <c r="D288" s="70" t="s">
        <v>1</v>
      </c>
      <c r="E288" s="72">
        <f>SUM(E289)</f>
        <v>857500</v>
      </c>
      <c r="F288" s="175">
        <f>SUM(F289)</f>
        <v>345841.03</v>
      </c>
      <c r="G288" s="38">
        <f>SUM(G289)</f>
        <v>345841.03</v>
      </c>
      <c r="H288" s="175">
        <f>SUM(H289)</f>
        <v>0</v>
      </c>
      <c r="I288" s="54">
        <f>SUM(F288/E288)</f>
        <v>0.4033</v>
      </c>
      <c r="J288" s="382"/>
      <c r="K288" s="245"/>
    </row>
    <row r="289" spans="1:11" s="246" customFormat="1" ht="30.75" customHeight="1">
      <c r="A289" s="243"/>
      <c r="B289" s="21"/>
      <c r="C289" s="384" t="s">
        <v>67</v>
      </c>
      <c r="D289" s="70" t="s">
        <v>16</v>
      </c>
      <c r="E289" s="72">
        <v>857500</v>
      </c>
      <c r="F289" s="308">
        <f>SUM(G289:H289)</f>
        <v>345841.03</v>
      </c>
      <c r="G289" s="290">
        <v>345841.03</v>
      </c>
      <c r="H289" s="290"/>
      <c r="I289" s="54">
        <f>SUM(F289/E289)</f>
        <v>0.4033</v>
      </c>
      <c r="J289" s="382"/>
      <c r="K289" s="245"/>
    </row>
    <row r="290" spans="1:11" s="246" customFormat="1" ht="11.25" customHeight="1">
      <c r="A290" s="243"/>
      <c r="B290" s="20">
        <v>90015</v>
      </c>
      <c r="C290" s="269"/>
      <c r="D290" s="247"/>
      <c r="E290" s="210"/>
      <c r="F290" s="252"/>
      <c r="G290" s="305"/>
      <c r="H290" s="284"/>
      <c r="I290" s="82"/>
      <c r="J290" s="382"/>
      <c r="K290" s="245"/>
    </row>
    <row r="291" spans="1:11" s="246" customFormat="1" ht="20.25" customHeight="1">
      <c r="A291" s="243"/>
      <c r="B291" s="20"/>
      <c r="C291" s="335"/>
      <c r="D291" s="211" t="s">
        <v>58</v>
      </c>
      <c r="E291" s="72">
        <f>SUM(E292)</f>
        <v>78</v>
      </c>
      <c r="F291" s="175">
        <f>SUM(F292)</f>
        <v>78.08</v>
      </c>
      <c r="G291" s="38">
        <f>SUM(G292)</f>
        <v>78.08</v>
      </c>
      <c r="H291" s="175">
        <f>SUM(H292)</f>
        <v>0</v>
      </c>
      <c r="I291" s="54">
        <f>SUM(F291/E291)</f>
        <v>1.001</v>
      </c>
      <c r="J291" s="382"/>
      <c r="K291" s="245"/>
    </row>
    <row r="292" spans="1:11" s="246" customFormat="1" ht="31.5" customHeight="1">
      <c r="A292" s="298"/>
      <c r="B292" s="79"/>
      <c r="C292" s="344" t="s">
        <v>126</v>
      </c>
      <c r="D292" s="70" t="s">
        <v>163</v>
      </c>
      <c r="E292" s="73">
        <v>78</v>
      </c>
      <c r="F292" s="175">
        <f>SUM(G292:H292)</f>
        <v>78.08</v>
      </c>
      <c r="G292" s="267">
        <v>78.08</v>
      </c>
      <c r="H292" s="268"/>
      <c r="I292" s="54">
        <f>SUM(F292/E292)</f>
        <v>1.001</v>
      </c>
      <c r="J292" s="382"/>
      <c r="K292" s="245"/>
    </row>
    <row r="293" spans="1:11" s="246" customFormat="1" ht="15.75" customHeight="1">
      <c r="A293" s="243"/>
      <c r="B293" s="20">
        <v>90020</v>
      </c>
      <c r="C293" s="269"/>
      <c r="D293" s="247" t="s">
        <v>81</v>
      </c>
      <c r="E293" s="210"/>
      <c r="F293" s="209"/>
      <c r="G293" s="193"/>
      <c r="H293" s="192"/>
      <c r="I293" s="82"/>
      <c r="J293" s="382"/>
      <c r="K293" s="245"/>
    </row>
    <row r="294" spans="1:11" s="246" customFormat="1" ht="18.75" customHeight="1">
      <c r="A294" s="243"/>
      <c r="B294" s="20"/>
      <c r="C294" s="335"/>
      <c r="D294" s="211" t="s">
        <v>82</v>
      </c>
      <c r="E294" s="72">
        <f>SUM(E295)</f>
        <v>50000</v>
      </c>
      <c r="F294" s="175">
        <f>SUM(F295)</f>
        <v>48601.57</v>
      </c>
      <c r="G294" s="38">
        <f>SUM(G295)</f>
        <v>48601.57</v>
      </c>
      <c r="H294" s="175">
        <f>SUM(H295)</f>
        <v>0</v>
      </c>
      <c r="I294" s="54">
        <f>SUM(F294/E294)</f>
        <v>0.972</v>
      </c>
      <c r="J294" s="382"/>
      <c r="K294" s="245"/>
    </row>
    <row r="295" spans="1:11" s="246" customFormat="1" ht="30.75" customHeight="1">
      <c r="A295" s="298"/>
      <c r="B295" s="21"/>
      <c r="C295" s="344" t="s">
        <v>149</v>
      </c>
      <c r="D295" s="70" t="s">
        <v>162</v>
      </c>
      <c r="E295" s="73">
        <v>50000</v>
      </c>
      <c r="F295" s="175">
        <f>SUM(G295:H295)</f>
        <v>48601.57</v>
      </c>
      <c r="G295" s="267">
        <v>48601.57</v>
      </c>
      <c r="H295" s="268"/>
      <c r="I295" s="54">
        <f>SUM(F295/E295)</f>
        <v>0.972</v>
      </c>
      <c r="J295" s="382"/>
      <c r="K295" s="245"/>
    </row>
    <row r="296" spans="1:11" s="246" customFormat="1" ht="31.5" customHeight="1">
      <c r="A296" s="243"/>
      <c r="B296" s="20">
        <v>90095</v>
      </c>
      <c r="C296" s="335"/>
      <c r="D296" s="211" t="s">
        <v>68</v>
      </c>
      <c r="E296" s="35">
        <f>SUM(E297:E309)</f>
        <v>3091356</v>
      </c>
      <c r="F296" s="38">
        <f>SUM(F297:F309)</f>
        <v>3435825.71</v>
      </c>
      <c r="G296" s="38">
        <f>SUM(G297:G309)</f>
        <v>2611755.35</v>
      </c>
      <c r="H296" s="38">
        <f>SUM(H297:H309)</f>
        <v>824070.36</v>
      </c>
      <c r="I296" s="54">
        <f aca="true" t="shared" si="12" ref="I296:I309">SUM(F296/E296)</f>
        <v>1.1114</v>
      </c>
      <c r="J296" s="382"/>
      <c r="K296" s="245"/>
    </row>
    <row r="297" spans="1:11" s="246" customFormat="1" ht="31.5" customHeight="1">
      <c r="A297" s="243"/>
      <c r="B297" s="20"/>
      <c r="C297" s="385" t="s">
        <v>125</v>
      </c>
      <c r="D297" s="66" t="s">
        <v>155</v>
      </c>
      <c r="E297" s="72">
        <v>766000</v>
      </c>
      <c r="F297" s="308">
        <f aca="true" t="shared" si="13" ref="F297:F309">SUM(G297:H297)</f>
        <v>884119.93</v>
      </c>
      <c r="G297" s="290">
        <v>884119.93</v>
      </c>
      <c r="H297" s="386"/>
      <c r="I297" s="54">
        <f t="shared" si="12"/>
        <v>1.1542</v>
      </c>
      <c r="J297" s="382"/>
      <c r="K297" s="245"/>
    </row>
    <row r="298" spans="1:11" s="246" customFormat="1" ht="31.5" customHeight="1">
      <c r="A298" s="243"/>
      <c r="B298" s="20"/>
      <c r="C298" s="385" t="s">
        <v>143</v>
      </c>
      <c r="D298" s="66" t="s">
        <v>172</v>
      </c>
      <c r="E298" s="72">
        <v>126000</v>
      </c>
      <c r="F298" s="308">
        <f t="shared" si="13"/>
        <v>156352.92</v>
      </c>
      <c r="G298" s="290">
        <v>156352.92</v>
      </c>
      <c r="H298" s="387"/>
      <c r="I298" s="54">
        <f t="shared" si="12"/>
        <v>1.2409</v>
      </c>
      <c r="J298" s="382"/>
      <c r="K298" s="245"/>
    </row>
    <row r="299" spans="1:11" s="246" customFormat="1" ht="31.5" customHeight="1">
      <c r="A299" s="243"/>
      <c r="B299" s="20"/>
      <c r="C299" s="385" t="s">
        <v>179</v>
      </c>
      <c r="D299" s="287" t="s">
        <v>180</v>
      </c>
      <c r="E299" s="72">
        <v>0</v>
      </c>
      <c r="F299" s="308">
        <f t="shared" si="13"/>
        <v>196240.51</v>
      </c>
      <c r="G299" s="290">
        <v>196240.51</v>
      </c>
      <c r="H299" s="387"/>
      <c r="I299" s="54"/>
      <c r="J299" s="382"/>
      <c r="K299" s="245"/>
    </row>
    <row r="300" spans="1:11" s="246" customFormat="1" ht="31.5" customHeight="1">
      <c r="A300" s="243"/>
      <c r="B300" s="20"/>
      <c r="C300" s="385" t="s">
        <v>129</v>
      </c>
      <c r="D300" s="66" t="s">
        <v>158</v>
      </c>
      <c r="E300" s="72">
        <v>0</v>
      </c>
      <c r="F300" s="308">
        <f t="shared" si="13"/>
        <v>865.74</v>
      </c>
      <c r="G300" s="193">
        <v>865.74</v>
      </c>
      <c r="H300" s="388"/>
      <c r="I300" s="54"/>
      <c r="J300" s="382"/>
      <c r="K300" s="245"/>
    </row>
    <row r="301" spans="1:11" s="246" customFormat="1" ht="40.5" customHeight="1">
      <c r="A301" s="243"/>
      <c r="B301" s="20"/>
      <c r="C301" s="385" t="s">
        <v>150</v>
      </c>
      <c r="D301" s="66" t="s">
        <v>112</v>
      </c>
      <c r="E301" s="72">
        <v>931366</v>
      </c>
      <c r="F301" s="308">
        <f t="shared" si="13"/>
        <v>1062781.99</v>
      </c>
      <c r="G301" s="290">
        <v>1062781.99</v>
      </c>
      <c r="H301" s="386"/>
      <c r="I301" s="54">
        <f t="shared" si="12"/>
        <v>1.1411</v>
      </c>
      <c r="J301" s="382"/>
      <c r="K301" s="245"/>
    </row>
    <row r="302" spans="1:11" s="246" customFormat="1" ht="31.5" customHeight="1">
      <c r="A302" s="243"/>
      <c r="B302" s="20"/>
      <c r="C302" s="385" t="s">
        <v>83</v>
      </c>
      <c r="D302" s="70" t="s">
        <v>84</v>
      </c>
      <c r="E302" s="72">
        <v>13000</v>
      </c>
      <c r="F302" s="38">
        <f t="shared" si="13"/>
        <v>13159.16</v>
      </c>
      <c r="G302" s="290"/>
      <c r="H302" s="386">
        <v>13159.16</v>
      </c>
      <c r="I302" s="54">
        <f t="shared" si="12"/>
        <v>1.0122</v>
      </c>
      <c r="J302" s="382"/>
      <c r="K302" s="245"/>
    </row>
    <row r="303" spans="1:11" s="246" customFormat="1" ht="31.5" customHeight="1">
      <c r="A303" s="243"/>
      <c r="B303" s="20"/>
      <c r="C303" s="358" t="s">
        <v>199</v>
      </c>
      <c r="D303" s="66" t="s">
        <v>200</v>
      </c>
      <c r="E303" s="72">
        <v>371000</v>
      </c>
      <c r="F303" s="38">
        <f t="shared" si="13"/>
        <v>257738.82</v>
      </c>
      <c r="G303" s="193"/>
      <c r="H303" s="388">
        <v>257738.82</v>
      </c>
      <c r="I303" s="54">
        <f t="shared" si="12"/>
        <v>0.6947</v>
      </c>
      <c r="J303" s="382"/>
      <c r="K303" s="245"/>
    </row>
    <row r="304" spans="1:11" s="246" customFormat="1" ht="31.5" customHeight="1">
      <c r="A304" s="243"/>
      <c r="B304" s="20"/>
      <c r="C304" s="358" t="s">
        <v>148</v>
      </c>
      <c r="D304" s="94" t="s">
        <v>161</v>
      </c>
      <c r="E304" s="72">
        <v>7000</v>
      </c>
      <c r="F304" s="38">
        <f t="shared" si="13"/>
        <v>8336</v>
      </c>
      <c r="G304" s="290">
        <v>8336</v>
      </c>
      <c r="H304" s="386"/>
      <c r="I304" s="54">
        <f t="shared" si="12"/>
        <v>1.1909</v>
      </c>
      <c r="J304" s="382"/>
      <c r="K304" s="245"/>
    </row>
    <row r="305" spans="1:11" s="246" customFormat="1" ht="31.5" customHeight="1">
      <c r="A305" s="243"/>
      <c r="B305" s="20"/>
      <c r="C305" s="385" t="s">
        <v>126</v>
      </c>
      <c r="D305" s="66" t="s">
        <v>163</v>
      </c>
      <c r="E305" s="72">
        <v>39000</v>
      </c>
      <c r="F305" s="38">
        <f t="shared" si="13"/>
        <v>39213.06</v>
      </c>
      <c r="G305" s="290">
        <v>39213.06</v>
      </c>
      <c r="H305" s="386"/>
      <c r="I305" s="54">
        <f t="shared" si="12"/>
        <v>1.0055</v>
      </c>
      <c r="J305" s="382"/>
      <c r="K305" s="245"/>
    </row>
    <row r="306" spans="1:11" s="246" customFormat="1" ht="31.5" customHeight="1">
      <c r="A306" s="243"/>
      <c r="B306" s="20"/>
      <c r="C306" s="354" t="s">
        <v>127</v>
      </c>
      <c r="D306" s="66" t="s">
        <v>156</v>
      </c>
      <c r="E306" s="72">
        <v>12990</v>
      </c>
      <c r="F306" s="38">
        <f t="shared" si="13"/>
        <v>109104.35</v>
      </c>
      <c r="G306" s="193">
        <v>109104.35</v>
      </c>
      <c r="H306" s="388"/>
      <c r="I306" s="54">
        <f t="shared" si="12"/>
        <v>8.3991</v>
      </c>
      <c r="J306" s="382"/>
      <c r="K306" s="245"/>
    </row>
    <row r="307" spans="1:11" s="246" customFormat="1" ht="31.5" customHeight="1">
      <c r="A307" s="243"/>
      <c r="B307" s="20"/>
      <c r="C307" s="354" t="s">
        <v>67</v>
      </c>
      <c r="D307" s="66" t="s">
        <v>16</v>
      </c>
      <c r="E307" s="73">
        <v>210000</v>
      </c>
      <c r="F307" s="308">
        <f t="shared" si="13"/>
        <v>154740.85</v>
      </c>
      <c r="G307" s="290">
        <v>154740.85</v>
      </c>
      <c r="H307" s="386"/>
      <c r="I307" s="65">
        <f t="shared" si="12"/>
        <v>0.7369</v>
      </c>
      <c r="J307" s="382"/>
      <c r="K307" s="245"/>
    </row>
    <row r="308" spans="1:11" s="246" customFormat="1" ht="25.5" customHeight="1" hidden="1">
      <c r="A308" s="243"/>
      <c r="B308" s="20"/>
      <c r="C308" s="354" t="s">
        <v>210</v>
      </c>
      <c r="D308" s="66" t="s">
        <v>211</v>
      </c>
      <c r="E308" s="266">
        <v>0</v>
      </c>
      <c r="F308" s="38">
        <f>SUM(G308:H308)</f>
        <v>0</v>
      </c>
      <c r="G308" s="290"/>
      <c r="H308" s="386">
        <v>0</v>
      </c>
      <c r="I308" s="54" t="e">
        <f>SUM(F308/E308)</f>
        <v>#DIV/0!</v>
      </c>
      <c r="J308" s="382"/>
      <c r="K308" s="245"/>
    </row>
    <row r="309" spans="1:11" s="246" customFormat="1" ht="45.75" customHeight="1" thickBot="1">
      <c r="A309" s="532"/>
      <c r="B309" s="405"/>
      <c r="C309" s="561">
        <v>6260</v>
      </c>
      <c r="D309" s="126" t="s">
        <v>151</v>
      </c>
      <c r="E309" s="550">
        <f>515000+100000</f>
        <v>615000</v>
      </c>
      <c r="F309" s="562">
        <f t="shared" si="13"/>
        <v>553172.38</v>
      </c>
      <c r="G309" s="535"/>
      <c r="H309" s="563">
        <v>553172.38</v>
      </c>
      <c r="I309" s="139">
        <f t="shared" si="12"/>
        <v>0.8995</v>
      </c>
      <c r="J309" s="382"/>
      <c r="K309" s="245"/>
    </row>
    <row r="310" spans="1:11" s="172" customFormat="1" ht="14.25" customHeight="1">
      <c r="A310" s="546">
        <v>1</v>
      </c>
      <c r="B310" s="92">
        <v>2</v>
      </c>
      <c r="C310" s="547">
        <v>3</v>
      </c>
      <c r="D310" s="92">
        <v>4</v>
      </c>
      <c r="E310" s="547">
        <v>5</v>
      </c>
      <c r="F310" s="548">
        <v>6</v>
      </c>
      <c r="G310" s="539">
        <v>7</v>
      </c>
      <c r="H310" s="548">
        <v>8</v>
      </c>
      <c r="I310" s="541">
        <v>9</v>
      </c>
      <c r="J310" s="382"/>
      <c r="K310" s="171"/>
    </row>
    <row r="311" spans="1:11" s="246" customFormat="1" ht="31.5" customHeight="1">
      <c r="A311" s="243">
        <v>921</v>
      </c>
      <c r="B311" s="21"/>
      <c r="C311" s="335"/>
      <c r="D311" s="211" t="s">
        <v>66</v>
      </c>
      <c r="E311" s="35">
        <f>SUM(E313)+E316</f>
        <v>251360</v>
      </c>
      <c r="F311" s="175">
        <f>SUM(F313)+F316</f>
        <v>1360.05</v>
      </c>
      <c r="G311" s="175">
        <f>SUM(G313)+G316</f>
        <v>1360.05</v>
      </c>
      <c r="H311" s="38">
        <f>SUM(H313)+H316</f>
        <v>0</v>
      </c>
      <c r="I311" s="54">
        <f>SUM(F311/E311)</f>
        <v>0.0054</v>
      </c>
      <c r="J311" s="245"/>
      <c r="K311" s="245"/>
    </row>
    <row r="312" spans="1:11" s="246" customFormat="1" ht="14.25" customHeight="1">
      <c r="A312" s="243"/>
      <c r="B312" s="20"/>
      <c r="C312" s="269"/>
      <c r="D312" s="247"/>
      <c r="E312" s="40"/>
      <c r="F312" s="283"/>
      <c r="G312" s="283"/>
      <c r="H312" s="389"/>
      <c r="I312" s="82"/>
      <c r="J312" s="245"/>
      <c r="K312" s="245"/>
    </row>
    <row r="313" spans="1:11" s="246" customFormat="1" ht="12.75">
      <c r="A313" s="243"/>
      <c r="B313" s="20">
        <v>92109</v>
      </c>
      <c r="C313" s="335"/>
      <c r="D313" s="211" t="s">
        <v>98</v>
      </c>
      <c r="E313" s="274">
        <f>E314+E315</f>
        <v>250497</v>
      </c>
      <c r="F313" s="38">
        <f>F314+F315</f>
        <v>496.6</v>
      </c>
      <c r="G313" s="38">
        <f>G314+G315</f>
        <v>496.6</v>
      </c>
      <c r="H313" s="38">
        <f>H314+H315</f>
        <v>0</v>
      </c>
      <c r="I313" s="54">
        <f aca="true" t="shared" si="14" ref="I313:I318">SUM(F313/E313)</f>
        <v>0.002</v>
      </c>
      <c r="J313" s="245"/>
      <c r="K313" s="245"/>
    </row>
    <row r="314" spans="1:11" s="246" customFormat="1" ht="34.5" customHeight="1">
      <c r="A314" s="243"/>
      <c r="B314" s="20"/>
      <c r="C314" s="354" t="s">
        <v>127</v>
      </c>
      <c r="D314" s="66" t="s">
        <v>156</v>
      </c>
      <c r="E314" s="73">
        <v>497</v>
      </c>
      <c r="F314" s="308">
        <f>SUM(G314:H314)</f>
        <v>496.6</v>
      </c>
      <c r="G314" s="308">
        <v>496.6</v>
      </c>
      <c r="H314" s="390"/>
      <c r="I314" s="65">
        <f t="shared" si="14"/>
        <v>0.9992</v>
      </c>
      <c r="J314" s="245"/>
      <c r="K314" s="245"/>
    </row>
    <row r="315" spans="1:11" s="246" customFormat="1" ht="34.5" customHeight="1">
      <c r="A315" s="298"/>
      <c r="B315" s="80"/>
      <c r="C315" s="335">
        <v>6208</v>
      </c>
      <c r="D315" s="70" t="s">
        <v>211</v>
      </c>
      <c r="E315" s="72">
        <v>250000</v>
      </c>
      <c r="F315" s="38">
        <f>SUM(G315:H315)</f>
        <v>0</v>
      </c>
      <c r="G315" s="267"/>
      <c r="H315" s="391"/>
      <c r="I315" s="54">
        <f t="shared" si="14"/>
        <v>0</v>
      </c>
      <c r="J315" s="245"/>
      <c r="K315" s="245"/>
    </row>
    <row r="316" spans="1:11" s="246" customFormat="1" ht="31.5" customHeight="1">
      <c r="A316" s="243"/>
      <c r="B316" s="20">
        <v>92195</v>
      </c>
      <c r="C316" s="343"/>
      <c r="D316" s="211" t="s">
        <v>212</v>
      </c>
      <c r="E316" s="274">
        <f>SUM(E317:E318)</f>
        <v>863</v>
      </c>
      <c r="F316" s="38">
        <f>SUM(F317:F318)</f>
        <v>863.45</v>
      </c>
      <c r="G316" s="38">
        <f>SUM(G317:G318)</f>
        <v>863.45</v>
      </c>
      <c r="H316" s="38">
        <f>SUM(H317:H318)</f>
        <v>0</v>
      </c>
      <c r="I316" s="54">
        <f t="shared" si="14"/>
        <v>1.0005</v>
      </c>
      <c r="J316" s="245"/>
      <c r="K316" s="245"/>
    </row>
    <row r="317" spans="1:11" s="246" customFormat="1" ht="34.5" customHeight="1">
      <c r="A317" s="243"/>
      <c r="B317" s="20"/>
      <c r="C317" s="385" t="s">
        <v>126</v>
      </c>
      <c r="D317" s="66" t="s">
        <v>163</v>
      </c>
      <c r="E317" s="73">
        <v>53</v>
      </c>
      <c r="F317" s="308">
        <f>SUM(G317:H317)</f>
        <v>53</v>
      </c>
      <c r="G317" s="308">
        <v>53</v>
      </c>
      <c r="H317" s="390"/>
      <c r="I317" s="54">
        <f t="shared" si="14"/>
        <v>1</v>
      </c>
      <c r="J317" s="245"/>
      <c r="K317" s="245"/>
    </row>
    <row r="318" spans="1:11" s="165" customFormat="1" ht="37.5" customHeight="1" thickBot="1">
      <c r="A318" s="275"/>
      <c r="B318" s="276"/>
      <c r="C318" s="342">
        <v>2910</v>
      </c>
      <c r="D318" s="277" t="s">
        <v>110</v>
      </c>
      <c r="E318" s="302">
        <v>810</v>
      </c>
      <c r="F318" s="279">
        <f>SUM(G318:H318)</f>
        <v>810.45</v>
      </c>
      <c r="G318" s="279">
        <v>810.45</v>
      </c>
      <c r="H318" s="279"/>
      <c r="I318" s="68">
        <f t="shared" si="14"/>
        <v>1.0006</v>
      </c>
      <c r="J318" s="166"/>
      <c r="K318" s="166"/>
    </row>
    <row r="319" spans="1:11" s="246" customFormat="1" ht="13.5" thickTop="1">
      <c r="A319" s="243"/>
      <c r="B319" s="20"/>
      <c r="C319" s="392"/>
      <c r="D319" s="78"/>
      <c r="E319" s="40"/>
      <c r="F319" s="393"/>
      <c r="G319" s="394"/>
      <c r="H319" s="394"/>
      <c r="I319" s="82"/>
      <c r="J319" s="245"/>
      <c r="K319" s="245"/>
    </row>
    <row r="320" spans="1:11" s="246" customFormat="1" ht="31.5" customHeight="1">
      <c r="A320" s="243">
        <v>926</v>
      </c>
      <c r="B320" s="244"/>
      <c r="C320" s="335"/>
      <c r="D320" s="211" t="s">
        <v>93</v>
      </c>
      <c r="E320" s="35">
        <f>SUM(E325+E331)+E321</f>
        <v>1760563</v>
      </c>
      <c r="F320" s="38">
        <f>SUM(F325+F331)+F321</f>
        <v>1698478.75</v>
      </c>
      <c r="G320" s="38">
        <f>SUM(G325+G331)+G321</f>
        <v>140329.23</v>
      </c>
      <c r="H320" s="38">
        <f>SUM(H325+H331)+H321</f>
        <v>1558149.52</v>
      </c>
      <c r="I320" s="54">
        <f>SUM(F320/E320)</f>
        <v>0.9647</v>
      </c>
      <c r="J320" s="245"/>
      <c r="K320" s="245"/>
    </row>
    <row r="321" spans="1:11" s="246" customFormat="1" ht="31.5" customHeight="1">
      <c r="A321" s="243"/>
      <c r="B321" s="20">
        <v>92601</v>
      </c>
      <c r="C321" s="335"/>
      <c r="D321" s="211" t="s">
        <v>59</v>
      </c>
      <c r="E321" s="35">
        <f>E322+E323</f>
        <v>1332000</v>
      </c>
      <c r="F321" s="308">
        <f>F322+F323</f>
        <v>1332000</v>
      </c>
      <c r="G321" s="308">
        <f>G322+G323</f>
        <v>0</v>
      </c>
      <c r="H321" s="308">
        <f>H322+H323</f>
        <v>1332000</v>
      </c>
      <c r="I321" s="54">
        <f>SUM(F321/E321)</f>
        <v>1</v>
      </c>
      <c r="J321" s="245"/>
      <c r="K321" s="245"/>
    </row>
    <row r="322" spans="1:11" s="246" customFormat="1" ht="38.25">
      <c r="A322" s="243"/>
      <c r="B322" s="20"/>
      <c r="C322" s="383">
        <v>6300</v>
      </c>
      <c r="D322" s="66" t="s">
        <v>213</v>
      </c>
      <c r="E322" s="73">
        <v>666000</v>
      </c>
      <c r="F322" s="308">
        <f>SUM(G322:H322)</f>
        <v>666000</v>
      </c>
      <c r="G322" s="308"/>
      <c r="H322" s="395">
        <v>666000</v>
      </c>
      <c r="I322" s="65">
        <f>SUM(F322/E322)</f>
        <v>1</v>
      </c>
      <c r="J322" s="245"/>
      <c r="K322" s="245"/>
    </row>
    <row r="323" spans="1:11" s="246" customFormat="1" ht="36" customHeight="1">
      <c r="A323" s="298"/>
      <c r="B323" s="21"/>
      <c r="C323" s="335">
        <v>6330</v>
      </c>
      <c r="D323" s="70" t="s">
        <v>7</v>
      </c>
      <c r="E323" s="72">
        <v>666000</v>
      </c>
      <c r="F323" s="38">
        <f>SUM(G323:H323)</f>
        <v>666000</v>
      </c>
      <c r="G323" s="38"/>
      <c r="H323" s="33">
        <v>666000</v>
      </c>
      <c r="I323" s="54">
        <f>SUM(F323/E323)</f>
        <v>1</v>
      </c>
      <c r="J323" s="245"/>
      <c r="K323" s="245"/>
    </row>
    <row r="324" spans="1:11" s="246" customFormat="1" ht="14.25" customHeight="1">
      <c r="A324" s="243"/>
      <c r="B324" s="20"/>
      <c r="C324" s="269"/>
      <c r="D324" s="247"/>
      <c r="E324" s="40"/>
      <c r="F324" s="283"/>
      <c r="G324" s="283"/>
      <c r="H324" s="389"/>
      <c r="I324" s="82"/>
      <c r="J324" s="245"/>
      <c r="K324" s="245"/>
    </row>
    <row r="325" spans="1:11" s="246" customFormat="1" ht="18.75" customHeight="1">
      <c r="A325" s="243"/>
      <c r="B325" s="20">
        <v>92604</v>
      </c>
      <c r="C325" s="335"/>
      <c r="D325" s="211" t="s">
        <v>109</v>
      </c>
      <c r="E325" s="274">
        <f>E326+E327+E328+E329</f>
        <v>426135</v>
      </c>
      <c r="F325" s="33">
        <f>F326+F327+F328+F329</f>
        <v>364051.14</v>
      </c>
      <c r="G325" s="38">
        <f>G326+G327+G328+G329</f>
        <v>137901.62</v>
      </c>
      <c r="H325" s="33">
        <f>H326+H327+H328+H329</f>
        <v>226149.52</v>
      </c>
      <c r="I325" s="54">
        <f>SUM(F325/E325)</f>
        <v>0.8543</v>
      </c>
      <c r="J325" s="245"/>
      <c r="K325" s="245"/>
    </row>
    <row r="326" spans="1:11" s="246" customFormat="1" ht="34.5" customHeight="1">
      <c r="A326" s="243"/>
      <c r="B326" s="20"/>
      <c r="C326" s="335">
        <v>2440</v>
      </c>
      <c r="D326" s="70" t="s">
        <v>16</v>
      </c>
      <c r="E326" s="72">
        <v>60000</v>
      </c>
      <c r="F326" s="38">
        <f>SUM(G326:H326)</f>
        <v>38600.01</v>
      </c>
      <c r="G326" s="38">
        <v>38600.01</v>
      </c>
      <c r="H326" s="33"/>
      <c r="I326" s="54">
        <f>SUM(F326/E326)</f>
        <v>0.6433</v>
      </c>
      <c r="J326" s="245"/>
      <c r="K326" s="245"/>
    </row>
    <row r="327" spans="1:11" s="246" customFormat="1" ht="39.75" customHeight="1">
      <c r="A327" s="243"/>
      <c r="B327" s="20"/>
      <c r="C327" s="335">
        <v>2708</v>
      </c>
      <c r="D327" s="66" t="s">
        <v>258</v>
      </c>
      <c r="E327" s="73">
        <v>89764</v>
      </c>
      <c r="F327" s="38">
        <f>SUM(G327:H327)</f>
        <v>87619.07</v>
      </c>
      <c r="G327" s="38">
        <v>87619.07</v>
      </c>
      <c r="H327" s="33"/>
      <c r="I327" s="54">
        <f>SUM(F327/E327)</f>
        <v>0.9761</v>
      </c>
      <c r="J327" s="245"/>
      <c r="K327" s="245"/>
    </row>
    <row r="328" spans="1:11" s="246" customFormat="1" ht="42.75" customHeight="1">
      <c r="A328" s="298"/>
      <c r="B328" s="20"/>
      <c r="C328" s="335">
        <v>2709</v>
      </c>
      <c r="D328" s="66" t="s">
        <v>258</v>
      </c>
      <c r="E328" s="73">
        <v>11969</v>
      </c>
      <c r="F328" s="38">
        <f>SUM(G328:H328)</f>
        <v>11682.54</v>
      </c>
      <c r="G328" s="38">
        <v>11682.54</v>
      </c>
      <c r="H328" s="33"/>
      <c r="I328" s="54">
        <f>SUM(F328/E328)</f>
        <v>0.9761</v>
      </c>
      <c r="J328" s="245"/>
      <c r="K328" s="245"/>
    </row>
    <row r="329" spans="1:11" s="246" customFormat="1" ht="42" customHeight="1">
      <c r="A329" s="243"/>
      <c r="B329" s="20"/>
      <c r="C329" s="383">
        <v>6260</v>
      </c>
      <c r="D329" s="66" t="s">
        <v>151</v>
      </c>
      <c r="E329" s="73">
        <v>264402</v>
      </c>
      <c r="F329" s="38">
        <f>SUM(G329:H329)</f>
        <v>226149.52</v>
      </c>
      <c r="G329" s="290"/>
      <c r="H329" s="386">
        <v>226149.52</v>
      </c>
      <c r="I329" s="65">
        <f>SUM(F329/E329)</f>
        <v>0.8553</v>
      </c>
      <c r="J329" s="245"/>
      <c r="K329" s="245"/>
    </row>
    <row r="330" spans="1:11" s="246" customFormat="1" ht="9.75" customHeight="1">
      <c r="A330" s="243"/>
      <c r="B330" s="270"/>
      <c r="C330" s="269"/>
      <c r="D330" s="247"/>
      <c r="E330" s="88"/>
      <c r="F330" s="396"/>
      <c r="G330" s="273"/>
      <c r="H330" s="397"/>
      <c r="I330" s="82"/>
      <c r="J330" s="245"/>
      <c r="K330" s="245"/>
    </row>
    <row r="331" spans="1:11" s="165" customFormat="1" ht="26.25" customHeight="1">
      <c r="A331" s="180"/>
      <c r="B331" s="55">
        <v>92605</v>
      </c>
      <c r="C331" s="376"/>
      <c r="D331" s="285" t="s">
        <v>60</v>
      </c>
      <c r="E331" s="53">
        <f>SUM(E332:E333)</f>
        <v>2428</v>
      </c>
      <c r="F331" s="205">
        <f>SUM(F332:F333)</f>
        <v>2427.61</v>
      </c>
      <c r="G331" s="205">
        <f>SUM(G332:G333)</f>
        <v>2427.61</v>
      </c>
      <c r="H331" s="331">
        <f>SUM(H332:H333)</f>
        <v>0</v>
      </c>
      <c r="I331" s="54">
        <f>SUM(F331/E331)</f>
        <v>0.9998</v>
      </c>
      <c r="J331" s="166"/>
      <c r="K331" s="166"/>
    </row>
    <row r="332" spans="1:11" s="246" customFormat="1" ht="34.5" customHeight="1">
      <c r="A332" s="243"/>
      <c r="B332" s="20"/>
      <c r="C332" s="385" t="s">
        <v>126</v>
      </c>
      <c r="D332" s="66" t="s">
        <v>163</v>
      </c>
      <c r="E332" s="72">
        <v>126</v>
      </c>
      <c r="F332" s="38">
        <f>SUM(G332:H332)</f>
        <v>125.96</v>
      </c>
      <c r="G332" s="290">
        <v>125.96</v>
      </c>
      <c r="H332" s="386"/>
      <c r="I332" s="54">
        <f>SUM(F332/E332)</f>
        <v>0.9997</v>
      </c>
      <c r="J332" s="245"/>
      <c r="K332" s="245"/>
    </row>
    <row r="333" spans="1:11" s="165" customFormat="1" ht="34.5" customHeight="1" thickBot="1">
      <c r="A333" s="180"/>
      <c r="B333" s="55"/>
      <c r="C333" s="377">
        <v>2910</v>
      </c>
      <c r="D333" s="378" t="s">
        <v>110</v>
      </c>
      <c r="E333" s="293">
        <v>2302</v>
      </c>
      <c r="F333" s="212">
        <f>SUM(G333:H333)</f>
        <v>2301.65</v>
      </c>
      <c r="G333" s="212">
        <v>2301.65</v>
      </c>
      <c r="H333" s="212"/>
      <c r="I333" s="82">
        <f>SUM(F333/E333)</f>
        <v>0.9998</v>
      </c>
      <c r="J333" s="166"/>
      <c r="K333" s="166"/>
    </row>
    <row r="334" spans="1:13" s="178" customFormat="1" ht="14.25" customHeight="1">
      <c r="A334" s="398"/>
      <c r="B334" s="106"/>
      <c r="C334" s="399"/>
      <c r="D334" s="400"/>
      <c r="E334" s="401"/>
      <c r="F334" s="402"/>
      <c r="G334" s="221"/>
      <c r="H334" s="403"/>
      <c r="I334" s="222"/>
      <c r="J334" s="223"/>
      <c r="K334" s="223"/>
      <c r="M334" s="178" t="s">
        <v>175</v>
      </c>
    </row>
    <row r="335" spans="1:14" s="409" customFormat="1" ht="22.5" customHeight="1" thickBot="1">
      <c r="A335" s="404"/>
      <c r="B335" s="405"/>
      <c r="C335" s="406"/>
      <c r="D335" s="407" t="s">
        <v>281</v>
      </c>
      <c r="E335" s="225">
        <f>SUM(E60+E64+E70+E75+E102+E123+E138+E190+E205+E234+E242+E263+E276+E311+E320)+E271+E93</f>
        <v>102981835</v>
      </c>
      <c r="F335" s="225">
        <f>SUM(F60+F64+F70+F75+F102+F123+F138+F190+F205+F234+F242+F263+F276+F311+F320)+F271+F93</f>
        <v>105247607.28</v>
      </c>
      <c r="G335" s="225">
        <f>SUM(G60+G64+G70+G75+G102+G123+G138+G190+G205+G234+G242+G263+G276+G311+G320)+G271+G93</f>
        <v>91005514.07</v>
      </c>
      <c r="H335" s="225">
        <f>SUM(H60+H64+H70+H75+H102+H123+H138+H190+H205+H234+H242+H263+H276+H311+H320)+H271+H93</f>
        <v>14242093.21</v>
      </c>
      <c r="I335" s="108">
        <f>F335/E335</f>
        <v>1.022</v>
      </c>
      <c r="J335" s="408"/>
      <c r="K335" s="408"/>
      <c r="M335" s="597">
        <f>SUM(F335/41729)</f>
        <v>2522.17</v>
      </c>
      <c r="N335" s="409" t="s">
        <v>177</v>
      </c>
    </row>
    <row r="336" spans="1:14" s="412" customFormat="1" ht="14.25" customHeight="1">
      <c r="A336" s="628" t="s">
        <v>40</v>
      </c>
      <c r="B336" s="628"/>
      <c r="C336" s="628"/>
      <c r="D336" s="628"/>
      <c r="E336" s="628"/>
      <c r="F336" s="628"/>
      <c r="G336" s="628"/>
      <c r="H336" s="410"/>
      <c r="I336" s="411"/>
      <c r="M336" s="599">
        <f>SUM(G335/41729)</f>
        <v>2180.87</v>
      </c>
      <c r="N336" s="600" t="s">
        <v>183</v>
      </c>
    </row>
    <row r="337" spans="1:11" s="178" customFormat="1" ht="5.25" customHeight="1">
      <c r="A337" s="629"/>
      <c r="B337" s="629"/>
      <c r="C337" s="629"/>
      <c r="D337" s="629"/>
      <c r="E337" s="629"/>
      <c r="F337" s="629"/>
      <c r="G337" s="629"/>
      <c r="H337" s="629"/>
      <c r="I337" s="629"/>
      <c r="J337" s="223"/>
      <c r="K337" s="223"/>
    </row>
    <row r="338" spans="1:14" s="178" customFormat="1" ht="14.25" customHeight="1" thickBot="1">
      <c r="A338" s="413"/>
      <c r="B338" s="414"/>
      <c r="C338" s="110"/>
      <c r="D338" s="414"/>
      <c r="E338" s="415"/>
      <c r="F338" s="416"/>
      <c r="G338" s="417"/>
      <c r="H338" s="237"/>
      <c r="I338" s="238" t="s">
        <v>100</v>
      </c>
      <c r="J338" s="223"/>
      <c r="K338" s="223"/>
      <c r="M338" s="598">
        <f>SUM(H335/41729)</f>
        <v>341.3</v>
      </c>
      <c r="N338" s="178" t="s">
        <v>176</v>
      </c>
    </row>
    <row r="339" spans="1:11" s="418" customFormat="1" ht="14.25" customHeight="1">
      <c r="A339" s="603" t="s">
        <v>264</v>
      </c>
      <c r="B339" s="605" t="s">
        <v>282</v>
      </c>
      <c r="C339" s="605" t="s">
        <v>77</v>
      </c>
      <c r="D339" s="605" t="s">
        <v>283</v>
      </c>
      <c r="E339" s="614" t="s">
        <v>190</v>
      </c>
      <c r="F339" s="620" t="s">
        <v>193</v>
      </c>
      <c r="G339" s="622" t="s">
        <v>284</v>
      </c>
      <c r="H339" s="623"/>
      <c r="I339" s="607" t="s">
        <v>33</v>
      </c>
      <c r="J339" s="239"/>
      <c r="K339" s="239"/>
    </row>
    <row r="340" spans="1:11" s="419" customFormat="1" ht="25.5">
      <c r="A340" s="604"/>
      <c r="B340" s="606"/>
      <c r="C340" s="606"/>
      <c r="D340" s="606"/>
      <c r="E340" s="616"/>
      <c r="F340" s="621"/>
      <c r="G340" s="168" t="s">
        <v>194</v>
      </c>
      <c r="H340" s="169" t="s">
        <v>195</v>
      </c>
      <c r="I340" s="608"/>
      <c r="J340" s="241"/>
      <c r="K340" s="241"/>
    </row>
    <row r="341" spans="1:11" s="172" customFormat="1" ht="12" thickBot="1">
      <c r="A341" s="471">
        <v>1</v>
      </c>
      <c r="B341" s="50">
        <v>2</v>
      </c>
      <c r="C341" s="50">
        <v>3</v>
      </c>
      <c r="D341" s="50">
        <v>4</v>
      </c>
      <c r="E341" s="566">
        <v>5</v>
      </c>
      <c r="F341" s="567">
        <v>6</v>
      </c>
      <c r="G341" s="474">
        <v>7</v>
      </c>
      <c r="H341" s="567">
        <v>8</v>
      </c>
      <c r="I341" s="476">
        <v>9</v>
      </c>
      <c r="J341" s="171"/>
      <c r="K341" s="171"/>
    </row>
    <row r="342" spans="1:11" s="246" customFormat="1" ht="12.75">
      <c r="A342" s="282"/>
      <c r="B342" s="420"/>
      <c r="C342" s="111"/>
      <c r="D342" s="420"/>
      <c r="E342" s="421"/>
      <c r="F342" s="422"/>
      <c r="G342" s="184"/>
      <c r="H342" s="192"/>
      <c r="I342" s="32"/>
      <c r="J342" s="245"/>
      <c r="K342" s="245"/>
    </row>
    <row r="343" spans="1:11" s="246" customFormat="1" ht="18.75" customHeight="1">
      <c r="A343" s="423" t="s">
        <v>285</v>
      </c>
      <c r="B343" s="244"/>
      <c r="C343" s="112"/>
      <c r="D343" s="211" t="s">
        <v>3</v>
      </c>
      <c r="E343" s="268">
        <f>SUM(E345)</f>
        <v>10565.07</v>
      </c>
      <c r="F343" s="268">
        <f>SUM(F345)</f>
        <v>10565.07</v>
      </c>
      <c r="G343" s="268">
        <f>SUM(G345)</f>
        <v>10565.07</v>
      </c>
      <c r="H343" s="268">
        <f>SUM(H345)</f>
        <v>0</v>
      </c>
      <c r="I343" s="54">
        <f>SUM(F343/E343)</f>
        <v>1</v>
      </c>
      <c r="J343" s="245"/>
      <c r="K343" s="245"/>
    </row>
    <row r="344" spans="1:11" s="246" customFormat="1" ht="9" customHeight="1">
      <c r="A344" s="243"/>
      <c r="B344" s="20"/>
      <c r="C344" s="80"/>
      <c r="D344" s="247"/>
      <c r="E344" s="192"/>
      <c r="F344" s="192"/>
      <c r="G344" s="193"/>
      <c r="H344" s="192"/>
      <c r="I344" s="82"/>
      <c r="J344" s="245"/>
      <c r="K344" s="245"/>
    </row>
    <row r="345" spans="1:11" s="246" customFormat="1" ht="25.5" customHeight="1">
      <c r="A345" s="243"/>
      <c r="B345" s="97" t="s">
        <v>186</v>
      </c>
      <c r="C345" s="96"/>
      <c r="D345" s="211" t="s">
        <v>68</v>
      </c>
      <c r="E345" s="268">
        <f>SUM(E348)</f>
        <v>10565.07</v>
      </c>
      <c r="F345" s="268">
        <f>SUM(F348)</f>
        <v>10565.07</v>
      </c>
      <c r="G345" s="267">
        <f>SUM(G348)</f>
        <v>10565.07</v>
      </c>
      <c r="H345" s="268">
        <f>SUM(H348)</f>
        <v>0</v>
      </c>
      <c r="I345" s="54">
        <f>SUM(F345/E345)</f>
        <v>1</v>
      </c>
      <c r="J345" s="245"/>
      <c r="K345" s="245"/>
    </row>
    <row r="346" spans="1:11" s="246" customFormat="1" ht="14.25" customHeight="1">
      <c r="A346" s="243"/>
      <c r="B346" s="97"/>
      <c r="C346" s="103">
        <v>2010</v>
      </c>
      <c r="D346" s="247" t="s">
        <v>87</v>
      </c>
      <c r="E346" s="192"/>
      <c r="F346" s="192"/>
      <c r="G346" s="193"/>
      <c r="H346" s="192"/>
      <c r="I346" s="82"/>
      <c r="J346" s="245"/>
      <c r="K346" s="245"/>
    </row>
    <row r="347" spans="1:11" s="246" customFormat="1" ht="14.25" customHeight="1">
      <c r="A347" s="243"/>
      <c r="B347" s="97"/>
      <c r="C347" s="103"/>
      <c r="D347" s="247" t="s">
        <v>88</v>
      </c>
      <c r="E347" s="192"/>
      <c r="F347" s="192"/>
      <c r="G347" s="193"/>
      <c r="H347" s="192"/>
      <c r="I347" s="82"/>
      <c r="J347" s="245"/>
      <c r="K347" s="245"/>
    </row>
    <row r="348" spans="1:11" s="246" customFormat="1" ht="14.25" customHeight="1" thickBot="1">
      <c r="A348" s="248"/>
      <c r="B348" s="104"/>
      <c r="C348" s="113"/>
      <c r="D348" s="300" t="s">
        <v>89</v>
      </c>
      <c r="E348" s="304">
        <v>10565.07</v>
      </c>
      <c r="F348" s="304">
        <f>SUM(G348:H348)</f>
        <v>10565.07</v>
      </c>
      <c r="G348" s="303">
        <v>10565.07</v>
      </c>
      <c r="H348" s="304"/>
      <c r="I348" s="68">
        <f>SUM(F348/E348)</f>
        <v>1</v>
      </c>
      <c r="J348" s="245"/>
      <c r="K348" s="245"/>
    </row>
    <row r="349" spans="1:11" s="246" customFormat="1" ht="13.5" thickTop="1">
      <c r="A349" s="282"/>
      <c r="B349" s="420"/>
      <c r="C349" s="111"/>
      <c r="D349" s="420"/>
      <c r="E349" s="36"/>
      <c r="F349" s="424"/>
      <c r="G349" s="425"/>
      <c r="H349" s="284"/>
      <c r="I349" s="32"/>
      <c r="J349" s="245"/>
      <c r="K349" s="245"/>
    </row>
    <row r="350" spans="1:11" s="246" customFormat="1" ht="18" customHeight="1">
      <c r="A350" s="243">
        <v>750</v>
      </c>
      <c r="B350" s="244"/>
      <c r="C350" s="112"/>
      <c r="D350" s="211" t="s">
        <v>269</v>
      </c>
      <c r="E350" s="353">
        <f>SUM(E352)</f>
        <v>297000</v>
      </c>
      <c r="F350" s="268">
        <f>SUM(F352)</f>
        <v>297000</v>
      </c>
      <c r="G350" s="267">
        <f>SUM(G352)</f>
        <v>297000</v>
      </c>
      <c r="H350" s="268">
        <f>SUM(H352)</f>
        <v>0</v>
      </c>
      <c r="I350" s="54">
        <f>SUM(F350/E350)</f>
        <v>1</v>
      </c>
      <c r="J350" s="245"/>
      <c r="K350" s="245"/>
    </row>
    <row r="351" spans="1:11" s="246" customFormat="1" ht="9" customHeight="1">
      <c r="A351" s="243"/>
      <c r="B351" s="20"/>
      <c r="C351" s="80"/>
      <c r="D351" s="247"/>
      <c r="E351" s="191"/>
      <c r="F351" s="192"/>
      <c r="G351" s="193"/>
      <c r="H351" s="192"/>
      <c r="I351" s="82"/>
      <c r="J351" s="245"/>
      <c r="K351" s="245"/>
    </row>
    <row r="352" spans="1:11" s="246" customFormat="1" ht="24.75" customHeight="1">
      <c r="A352" s="243"/>
      <c r="B352" s="20">
        <v>75011</v>
      </c>
      <c r="C352" s="79"/>
      <c r="D352" s="211" t="s">
        <v>99</v>
      </c>
      <c r="E352" s="353">
        <f>SUM(E355)</f>
        <v>297000</v>
      </c>
      <c r="F352" s="268">
        <f>SUM(F355)</f>
        <v>297000</v>
      </c>
      <c r="G352" s="267">
        <f>SUM(G355)</f>
        <v>297000</v>
      </c>
      <c r="H352" s="268">
        <f>SUM(H355)</f>
        <v>0</v>
      </c>
      <c r="I352" s="54">
        <f>SUM(F352/E352)</f>
        <v>1</v>
      </c>
      <c r="J352" s="245"/>
      <c r="K352" s="245"/>
    </row>
    <row r="353" spans="1:11" s="246" customFormat="1" ht="14.25" customHeight="1">
      <c r="A353" s="243"/>
      <c r="B353" s="20"/>
      <c r="C353" s="80">
        <v>2010</v>
      </c>
      <c r="D353" s="247" t="s">
        <v>87</v>
      </c>
      <c r="E353" s="191"/>
      <c r="F353" s="192"/>
      <c r="G353" s="193"/>
      <c r="H353" s="192"/>
      <c r="I353" s="82"/>
      <c r="J353" s="245"/>
      <c r="K353" s="245"/>
    </row>
    <row r="354" spans="1:11" s="246" customFormat="1" ht="14.25" customHeight="1">
      <c r="A354" s="243"/>
      <c r="B354" s="20"/>
      <c r="C354" s="80"/>
      <c r="D354" s="247" t="s">
        <v>88</v>
      </c>
      <c r="E354" s="191"/>
      <c r="F354" s="192"/>
      <c r="G354" s="193"/>
      <c r="H354" s="192"/>
      <c r="I354" s="82"/>
      <c r="J354" s="245"/>
      <c r="K354" s="245"/>
    </row>
    <row r="355" spans="1:11" s="246" customFormat="1" ht="14.25" customHeight="1" thickBot="1">
      <c r="A355" s="248"/>
      <c r="B355" s="104"/>
      <c r="C355" s="113"/>
      <c r="D355" s="300" t="s">
        <v>89</v>
      </c>
      <c r="E355" s="426">
        <v>297000</v>
      </c>
      <c r="F355" s="304">
        <f>SUM(G354:H355)</f>
        <v>297000</v>
      </c>
      <c r="G355" s="303">
        <v>297000</v>
      </c>
      <c r="H355" s="304"/>
      <c r="I355" s="68">
        <f>SUM(F355/E355)</f>
        <v>1</v>
      </c>
      <c r="J355" s="245"/>
      <c r="K355" s="245"/>
    </row>
    <row r="356" spans="1:11" s="246" customFormat="1" ht="9" customHeight="1" thickTop="1">
      <c r="A356" s="243"/>
      <c r="B356" s="20"/>
      <c r="C356" s="80"/>
      <c r="D356" s="247"/>
      <c r="E356" s="191"/>
      <c r="F356" s="284"/>
      <c r="G356" s="305"/>
      <c r="H356" s="284"/>
      <c r="I356" s="82"/>
      <c r="J356" s="245"/>
      <c r="K356" s="245"/>
    </row>
    <row r="357" spans="1:11" s="246" customFormat="1" ht="14.25" customHeight="1">
      <c r="A357" s="243">
        <v>751</v>
      </c>
      <c r="B357" s="310"/>
      <c r="C357" s="111"/>
      <c r="D357" s="247" t="s">
        <v>90</v>
      </c>
      <c r="E357" s="191"/>
      <c r="F357" s="284"/>
      <c r="G357" s="305"/>
      <c r="H357" s="284"/>
      <c r="I357" s="82"/>
      <c r="J357" s="245"/>
      <c r="K357" s="245"/>
    </row>
    <row r="358" spans="1:11" s="246" customFormat="1" ht="14.25" customHeight="1">
      <c r="A358" s="243"/>
      <c r="B358" s="244"/>
      <c r="C358" s="112"/>
      <c r="D358" s="211" t="s">
        <v>91</v>
      </c>
      <c r="E358" s="353">
        <f>SUM(E361)</f>
        <v>6000</v>
      </c>
      <c r="F358" s="268">
        <f>SUM(F361)</f>
        <v>6000</v>
      </c>
      <c r="G358" s="267">
        <f>SUM(G361)</f>
        <v>6000</v>
      </c>
      <c r="H358" s="268">
        <f>SUM(H361)</f>
        <v>0</v>
      </c>
      <c r="I358" s="54">
        <f>SUM(F358/E358)</f>
        <v>1</v>
      </c>
      <c r="J358" s="245"/>
      <c r="K358" s="245"/>
    </row>
    <row r="359" spans="1:11" s="246" customFormat="1" ht="3.75" customHeight="1">
      <c r="A359" s="243"/>
      <c r="B359" s="20"/>
      <c r="C359" s="80"/>
      <c r="D359" s="247"/>
      <c r="E359" s="191"/>
      <c r="F359" s="192"/>
      <c r="G359" s="193"/>
      <c r="H359" s="192"/>
      <c r="I359" s="82"/>
      <c r="J359" s="245"/>
      <c r="K359" s="245"/>
    </row>
    <row r="360" spans="1:11" s="246" customFormat="1" ht="14.25" customHeight="1">
      <c r="A360" s="243"/>
      <c r="B360" s="20">
        <v>75101</v>
      </c>
      <c r="C360" s="80"/>
      <c r="D360" s="247" t="s">
        <v>78</v>
      </c>
      <c r="E360" s="191"/>
      <c r="F360" s="192"/>
      <c r="G360" s="193"/>
      <c r="H360" s="192"/>
      <c r="I360" s="82"/>
      <c r="J360" s="245"/>
      <c r="K360" s="245"/>
    </row>
    <row r="361" spans="1:11" s="246" customFormat="1" ht="14.25" customHeight="1">
      <c r="A361" s="243"/>
      <c r="B361" s="20"/>
      <c r="C361" s="79"/>
      <c r="D361" s="211" t="s">
        <v>79</v>
      </c>
      <c r="E361" s="353">
        <f>SUM(E364)</f>
        <v>6000</v>
      </c>
      <c r="F361" s="268">
        <f>SUM(F364)</f>
        <v>6000</v>
      </c>
      <c r="G361" s="267">
        <f>SUM(G364)</f>
        <v>6000</v>
      </c>
      <c r="H361" s="268">
        <f>SUM(H364)</f>
        <v>0</v>
      </c>
      <c r="I361" s="54">
        <f>SUM(F361/E361)</f>
        <v>1</v>
      </c>
      <c r="J361" s="245"/>
      <c r="K361" s="245"/>
    </row>
    <row r="362" spans="1:11" s="246" customFormat="1" ht="14.25" customHeight="1">
      <c r="A362" s="243"/>
      <c r="B362" s="20"/>
      <c r="C362" s="80">
        <v>2010</v>
      </c>
      <c r="D362" s="247" t="s">
        <v>87</v>
      </c>
      <c r="E362" s="191"/>
      <c r="F362" s="192"/>
      <c r="G362" s="193"/>
      <c r="H362" s="192"/>
      <c r="I362" s="82"/>
      <c r="J362" s="245"/>
      <c r="K362" s="245"/>
    </row>
    <row r="363" spans="1:11" s="246" customFormat="1" ht="14.25" customHeight="1">
      <c r="A363" s="243"/>
      <c r="B363" s="20"/>
      <c r="C363" s="80"/>
      <c r="D363" s="247" t="s">
        <v>88</v>
      </c>
      <c r="E363" s="191"/>
      <c r="F363" s="192"/>
      <c r="G363" s="193"/>
      <c r="H363" s="192"/>
      <c r="I363" s="82"/>
      <c r="J363" s="245"/>
      <c r="K363" s="245"/>
    </row>
    <row r="364" spans="1:11" s="246" customFormat="1" ht="14.25" customHeight="1" thickBot="1">
      <c r="A364" s="248"/>
      <c r="B364" s="104"/>
      <c r="C364" s="113"/>
      <c r="D364" s="300" t="s">
        <v>89</v>
      </c>
      <c r="E364" s="426">
        <v>6000</v>
      </c>
      <c r="F364" s="304">
        <f>SUM(G364:H364)</f>
        <v>6000</v>
      </c>
      <c r="G364" s="303">
        <v>6000</v>
      </c>
      <c r="H364" s="304"/>
      <c r="I364" s="68">
        <f>SUM(F364/E364)</f>
        <v>1</v>
      </c>
      <c r="J364" s="245"/>
      <c r="K364" s="245"/>
    </row>
    <row r="365" spans="1:11" s="246" customFormat="1" ht="10.5" customHeight="1" thickTop="1">
      <c r="A365" s="243"/>
      <c r="B365" s="247"/>
      <c r="C365" s="80"/>
      <c r="D365" s="247"/>
      <c r="E365" s="191"/>
      <c r="F365" s="284"/>
      <c r="G365" s="305"/>
      <c r="H365" s="284"/>
      <c r="I365" s="82"/>
      <c r="J365" s="245"/>
      <c r="K365" s="245"/>
    </row>
    <row r="366" spans="1:11" s="246" customFormat="1" ht="15" customHeight="1">
      <c r="A366" s="243">
        <v>851</v>
      </c>
      <c r="B366" s="211"/>
      <c r="C366" s="79"/>
      <c r="D366" s="211" t="s">
        <v>280</v>
      </c>
      <c r="E366" s="353">
        <f>SUM(E367,)</f>
        <v>2000</v>
      </c>
      <c r="F366" s="268">
        <f>SUM(F367,)</f>
        <v>2000</v>
      </c>
      <c r="G366" s="267">
        <f>SUM(G367,)</f>
        <v>2000</v>
      </c>
      <c r="H366" s="268">
        <f>SUM(H367,)</f>
        <v>0</v>
      </c>
      <c r="I366" s="54">
        <f>SUM(F366/E366)</f>
        <v>1</v>
      </c>
      <c r="J366" s="245"/>
      <c r="K366" s="245"/>
    </row>
    <row r="367" spans="1:11" s="246" customFormat="1" ht="31.5" customHeight="1">
      <c r="A367" s="243"/>
      <c r="B367" s="20">
        <v>85195</v>
      </c>
      <c r="C367" s="79"/>
      <c r="D367" s="211" t="s">
        <v>68</v>
      </c>
      <c r="E367" s="353">
        <f>SUM(E370,)</f>
        <v>2000</v>
      </c>
      <c r="F367" s="268">
        <f>SUM(F370,)</f>
        <v>2000</v>
      </c>
      <c r="G367" s="267">
        <f>SUM(G370,)</f>
        <v>2000</v>
      </c>
      <c r="H367" s="268">
        <f>SUM(H370,)</f>
        <v>0</v>
      </c>
      <c r="I367" s="54">
        <f>SUM(F367/E367)</f>
        <v>1</v>
      </c>
      <c r="J367" s="245"/>
      <c r="K367" s="245"/>
    </row>
    <row r="368" spans="1:11" s="246" customFormat="1" ht="11.25" customHeight="1">
      <c r="A368" s="243"/>
      <c r="B368" s="247"/>
      <c r="C368" s="80">
        <v>2010</v>
      </c>
      <c r="D368" s="247" t="s">
        <v>87</v>
      </c>
      <c r="E368" s="191"/>
      <c r="F368" s="192"/>
      <c r="G368" s="193"/>
      <c r="H368" s="192"/>
      <c r="I368" s="82"/>
      <c r="J368" s="245"/>
      <c r="K368" s="245"/>
    </row>
    <row r="369" spans="1:11" s="246" customFormat="1" ht="11.25" customHeight="1">
      <c r="A369" s="243"/>
      <c r="B369" s="247"/>
      <c r="C369" s="80"/>
      <c r="D369" s="247" t="s">
        <v>88</v>
      </c>
      <c r="E369" s="191"/>
      <c r="F369" s="192"/>
      <c r="G369" s="193"/>
      <c r="H369" s="192"/>
      <c r="I369" s="82"/>
      <c r="J369" s="245"/>
      <c r="K369" s="245"/>
    </row>
    <row r="370" spans="1:11" s="246" customFormat="1" ht="12.75" customHeight="1" thickBot="1">
      <c r="A370" s="248"/>
      <c r="B370" s="427"/>
      <c r="C370" s="114"/>
      <c r="D370" s="300" t="s">
        <v>89</v>
      </c>
      <c r="E370" s="426">
        <v>2000</v>
      </c>
      <c r="F370" s="304">
        <f>SUM(G370:H370)</f>
        <v>2000</v>
      </c>
      <c r="G370" s="303">
        <v>2000</v>
      </c>
      <c r="H370" s="304"/>
      <c r="I370" s="68">
        <f>SUM(F370/E370)</f>
        <v>1</v>
      </c>
      <c r="J370" s="245"/>
      <c r="K370" s="245"/>
    </row>
    <row r="371" spans="1:11" s="246" customFormat="1" ht="36" customHeight="1" thickTop="1">
      <c r="A371" s="428">
        <v>852</v>
      </c>
      <c r="B371" s="244"/>
      <c r="C371" s="112"/>
      <c r="D371" s="211" t="s">
        <v>116</v>
      </c>
      <c r="E371" s="353">
        <f>E372+E377+E383+E389+E394</f>
        <v>10023388</v>
      </c>
      <c r="F371" s="268">
        <f>F372+F377+F383+F389+F394</f>
        <v>8951442.88</v>
      </c>
      <c r="G371" s="268">
        <f>G372+G377+G383+G389+G394</f>
        <v>8951442.88</v>
      </c>
      <c r="H371" s="268">
        <f>H372+H377+H383+H389+H394</f>
        <v>0</v>
      </c>
      <c r="I371" s="54">
        <f>SUM(F371/E371)</f>
        <v>0.8931</v>
      </c>
      <c r="J371" s="245"/>
      <c r="K371" s="245"/>
    </row>
    <row r="372" spans="1:11" s="246" customFormat="1" ht="26.25" customHeight="1">
      <c r="A372" s="428"/>
      <c r="B372" s="20">
        <v>85203</v>
      </c>
      <c r="C372" s="79"/>
      <c r="D372" s="211" t="s">
        <v>123</v>
      </c>
      <c r="E372" s="353">
        <f>SUM(E375)</f>
        <v>205000</v>
      </c>
      <c r="F372" s="268">
        <f>SUM(F375)</f>
        <v>205000</v>
      </c>
      <c r="G372" s="267">
        <f>SUM(G375)</f>
        <v>205000</v>
      </c>
      <c r="H372" s="268">
        <f>SUM(H375)</f>
        <v>0</v>
      </c>
      <c r="I372" s="54">
        <f>SUM(F372/E372)</f>
        <v>1</v>
      </c>
      <c r="J372" s="245"/>
      <c r="K372" s="245"/>
    </row>
    <row r="373" spans="1:11" s="246" customFormat="1" ht="14.25" customHeight="1">
      <c r="A373" s="428"/>
      <c r="B373" s="20"/>
      <c r="C373" s="80">
        <v>2010</v>
      </c>
      <c r="D373" s="247" t="s">
        <v>87</v>
      </c>
      <c r="E373" s="191"/>
      <c r="F373" s="192"/>
      <c r="G373" s="193"/>
      <c r="H373" s="192"/>
      <c r="I373" s="82"/>
      <c r="J373" s="245"/>
      <c r="K373" s="245"/>
    </row>
    <row r="374" spans="1:11" s="246" customFormat="1" ht="14.25" customHeight="1">
      <c r="A374" s="428"/>
      <c r="B374" s="20"/>
      <c r="C374" s="80"/>
      <c r="D374" s="247" t="s">
        <v>88</v>
      </c>
      <c r="E374" s="191"/>
      <c r="F374" s="192"/>
      <c r="G374" s="193"/>
      <c r="H374" s="192"/>
      <c r="I374" s="82"/>
      <c r="J374" s="245"/>
      <c r="K374" s="245"/>
    </row>
    <row r="375" spans="1:11" s="246" customFormat="1" ht="14.25" customHeight="1">
      <c r="A375" s="428"/>
      <c r="B375" s="21"/>
      <c r="C375" s="79"/>
      <c r="D375" s="211" t="s">
        <v>89</v>
      </c>
      <c r="E375" s="353">
        <v>205000</v>
      </c>
      <c r="F375" s="268">
        <f>SUM(G375:H375)</f>
        <v>205000</v>
      </c>
      <c r="G375" s="267">
        <v>205000</v>
      </c>
      <c r="H375" s="268"/>
      <c r="I375" s="54">
        <f>SUM(F375/E375)</f>
        <v>1</v>
      </c>
      <c r="J375" s="245"/>
      <c r="K375" s="245"/>
    </row>
    <row r="376" spans="1:11" s="246" customFormat="1" ht="14.25" customHeight="1">
      <c r="A376" s="428"/>
      <c r="B376" s="20">
        <v>85212</v>
      </c>
      <c r="C376" s="80"/>
      <c r="D376" s="247" t="s">
        <v>25</v>
      </c>
      <c r="E376" s="191"/>
      <c r="F376" s="284"/>
      <c r="G376" s="305"/>
      <c r="H376" s="284"/>
      <c r="I376" s="82"/>
      <c r="J376" s="245"/>
      <c r="K376" s="245"/>
    </row>
    <row r="377" spans="1:11" s="246" customFormat="1" ht="20.25" customHeight="1">
      <c r="A377" s="428"/>
      <c r="B377" s="20"/>
      <c r="C377" s="343"/>
      <c r="D377" s="211" t="s">
        <v>26</v>
      </c>
      <c r="E377" s="268">
        <f>SUM(E380:E380)</f>
        <v>8677250</v>
      </c>
      <c r="F377" s="268">
        <f>SUM(F380:F380)</f>
        <v>7636202.42</v>
      </c>
      <c r="G377" s="268">
        <f>SUM(G380:G380)</f>
        <v>7636202.42</v>
      </c>
      <c r="H377" s="268">
        <f>SUM(H380:H380)</f>
        <v>0</v>
      </c>
      <c r="I377" s="54">
        <f>SUM(F377/E377)</f>
        <v>0.88</v>
      </c>
      <c r="J377" s="245"/>
      <c r="K377" s="245"/>
    </row>
    <row r="378" spans="1:11" s="246" customFormat="1" ht="14.25" customHeight="1">
      <c r="A378" s="428"/>
      <c r="B378" s="20"/>
      <c r="C378" s="80">
        <v>2010</v>
      </c>
      <c r="D378" s="247" t="s">
        <v>87</v>
      </c>
      <c r="E378" s="191"/>
      <c r="F378" s="192"/>
      <c r="G378" s="193"/>
      <c r="H378" s="192"/>
      <c r="I378" s="82"/>
      <c r="J378" s="245"/>
      <c r="K378" s="245"/>
    </row>
    <row r="379" spans="1:11" s="246" customFormat="1" ht="14.25" customHeight="1">
      <c r="A379" s="428"/>
      <c r="B379" s="20"/>
      <c r="C379" s="80"/>
      <c r="D379" s="247" t="s">
        <v>88</v>
      </c>
      <c r="E379" s="191"/>
      <c r="F379" s="192"/>
      <c r="G379" s="193"/>
      <c r="H379" s="192"/>
      <c r="I379" s="82"/>
      <c r="J379" s="245"/>
      <c r="K379" s="245"/>
    </row>
    <row r="380" spans="1:11" s="246" customFormat="1" ht="14.25" customHeight="1">
      <c r="A380" s="429"/>
      <c r="B380" s="21"/>
      <c r="C380" s="21"/>
      <c r="D380" s="211" t="s">
        <v>89</v>
      </c>
      <c r="E380" s="353">
        <v>8677250</v>
      </c>
      <c r="F380" s="268">
        <f>SUM(G380:H380)</f>
        <v>7636202.42</v>
      </c>
      <c r="G380" s="267">
        <v>7636202.42</v>
      </c>
      <c r="H380" s="268"/>
      <c r="I380" s="54">
        <f>SUM(F380/E380)</f>
        <v>0.88</v>
      </c>
      <c r="J380" s="245"/>
      <c r="K380" s="245"/>
    </row>
    <row r="381" spans="1:11" s="246" customFormat="1" ht="14.25" customHeight="1">
      <c r="A381" s="428"/>
      <c r="B381" s="20">
        <v>85213</v>
      </c>
      <c r="C381" s="80"/>
      <c r="D381" s="247" t="s">
        <v>214</v>
      </c>
      <c r="E381" s="191"/>
      <c r="F381" s="284"/>
      <c r="G381" s="305"/>
      <c r="H381" s="284"/>
      <c r="I381" s="82"/>
      <c r="J381" s="245"/>
      <c r="K381" s="245"/>
    </row>
    <row r="382" spans="1:11" s="246" customFormat="1" ht="14.25" customHeight="1">
      <c r="A382" s="243"/>
      <c r="B382" s="20"/>
      <c r="C382" s="20"/>
      <c r="D382" s="247" t="s">
        <v>215</v>
      </c>
      <c r="E382" s="430"/>
      <c r="F382" s="284"/>
      <c r="G382" s="305"/>
      <c r="H382" s="284"/>
      <c r="I382" s="82"/>
      <c r="J382" s="245"/>
      <c r="K382" s="245"/>
    </row>
    <row r="383" spans="1:11" s="246" customFormat="1" ht="14.25" customHeight="1" thickBot="1">
      <c r="A383" s="532"/>
      <c r="B383" s="405"/>
      <c r="C383" s="555"/>
      <c r="D383" s="564" t="s">
        <v>216</v>
      </c>
      <c r="E383" s="565">
        <f>SUM(E387)</f>
        <v>94781</v>
      </c>
      <c r="F383" s="545">
        <f>SUM(F387)</f>
        <v>92403.26</v>
      </c>
      <c r="G383" s="544">
        <f>SUM(G387)</f>
        <v>92403.26</v>
      </c>
      <c r="H383" s="545">
        <f>SUM(H387)</f>
        <v>0</v>
      </c>
      <c r="I383" s="139">
        <f>SUM(F383/E383)</f>
        <v>0.9749</v>
      </c>
      <c r="J383" s="245"/>
      <c r="K383" s="245"/>
    </row>
    <row r="384" spans="1:11" s="172" customFormat="1" ht="14.25" customHeight="1">
      <c r="A384" s="546">
        <v>1</v>
      </c>
      <c r="B384" s="92">
        <v>2</v>
      </c>
      <c r="C384" s="547">
        <v>3</v>
      </c>
      <c r="D384" s="92">
        <v>4</v>
      </c>
      <c r="E384" s="547">
        <v>5</v>
      </c>
      <c r="F384" s="548">
        <v>6</v>
      </c>
      <c r="G384" s="539">
        <v>7</v>
      </c>
      <c r="H384" s="548">
        <v>8</v>
      </c>
      <c r="I384" s="541">
        <v>9</v>
      </c>
      <c r="J384" s="171"/>
      <c r="K384" s="171"/>
    </row>
    <row r="385" spans="1:11" s="246" customFormat="1" ht="14.25" customHeight="1">
      <c r="A385" s="243"/>
      <c r="B385" s="20"/>
      <c r="C385" s="80">
        <v>2010</v>
      </c>
      <c r="D385" s="247" t="s">
        <v>87</v>
      </c>
      <c r="E385" s="311"/>
      <c r="F385" s="339"/>
      <c r="G385" s="338"/>
      <c r="H385" s="339"/>
      <c r="I385" s="47"/>
      <c r="J385" s="245"/>
      <c r="K385" s="245"/>
    </row>
    <row r="386" spans="1:11" s="246" customFormat="1" ht="14.25" customHeight="1">
      <c r="A386" s="243"/>
      <c r="B386" s="20"/>
      <c r="C386" s="80"/>
      <c r="D386" s="247" t="s">
        <v>88</v>
      </c>
      <c r="E386" s="191"/>
      <c r="F386" s="192"/>
      <c r="G386" s="193"/>
      <c r="H386" s="192"/>
      <c r="I386" s="82"/>
      <c r="J386" s="245"/>
      <c r="K386" s="245"/>
    </row>
    <row r="387" spans="1:11" s="246" customFormat="1" ht="12.75">
      <c r="A387" s="243"/>
      <c r="B387" s="21"/>
      <c r="C387" s="79"/>
      <c r="D387" s="211" t="s">
        <v>89</v>
      </c>
      <c r="E387" s="353">
        <v>94781</v>
      </c>
      <c r="F387" s="268">
        <f>SUM(G387:H387)</f>
        <v>92403.26</v>
      </c>
      <c r="G387" s="267">
        <v>92403.26</v>
      </c>
      <c r="H387" s="268"/>
      <c r="I387" s="54">
        <f>SUM(F387/E387)</f>
        <v>0.9749</v>
      </c>
      <c r="J387" s="245"/>
      <c r="K387" s="245"/>
    </row>
    <row r="388" spans="1:11" s="246" customFormat="1" ht="8.25" customHeight="1">
      <c r="A388" s="243"/>
      <c r="B388" s="20"/>
      <c r="C388" s="80"/>
      <c r="D388" s="247"/>
      <c r="E388" s="191"/>
      <c r="F388" s="284"/>
      <c r="G388" s="193"/>
      <c r="H388" s="284"/>
      <c r="I388" s="82"/>
      <c r="J388" s="245"/>
      <c r="K388" s="245"/>
    </row>
    <row r="389" spans="1:11" s="246" customFormat="1" ht="19.5" customHeight="1">
      <c r="A389" s="243"/>
      <c r="B389" s="20">
        <v>85214</v>
      </c>
      <c r="C389" s="21"/>
      <c r="D389" s="211" t="s">
        <v>217</v>
      </c>
      <c r="E389" s="353">
        <f>E392</f>
        <v>920357</v>
      </c>
      <c r="F389" s="268">
        <f>F392</f>
        <v>891837.2</v>
      </c>
      <c r="G389" s="267">
        <f>G392</f>
        <v>891837.2</v>
      </c>
      <c r="H389" s="268">
        <f>H392</f>
        <v>0</v>
      </c>
      <c r="I389" s="54">
        <f>SUM(F389/E389)</f>
        <v>0.969</v>
      </c>
      <c r="J389" s="245"/>
      <c r="K389" s="245"/>
    </row>
    <row r="390" spans="1:11" s="246" customFormat="1" ht="14.25" customHeight="1">
      <c r="A390" s="243"/>
      <c r="B390" s="20"/>
      <c r="C390" s="80">
        <v>2010</v>
      </c>
      <c r="D390" s="247" t="s">
        <v>87</v>
      </c>
      <c r="E390" s="191"/>
      <c r="F390" s="192"/>
      <c r="G390" s="193"/>
      <c r="H390" s="192"/>
      <c r="I390" s="82"/>
      <c r="J390" s="245"/>
      <c r="K390" s="245"/>
    </row>
    <row r="391" spans="1:11" s="246" customFormat="1" ht="14.25" customHeight="1">
      <c r="A391" s="243"/>
      <c r="B391" s="20"/>
      <c r="C391" s="80"/>
      <c r="D391" s="247" t="s">
        <v>88</v>
      </c>
      <c r="E391" s="191"/>
      <c r="F391" s="192"/>
      <c r="G391" s="193"/>
      <c r="H391" s="192"/>
      <c r="I391" s="82"/>
      <c r="J391" s="245"/>
      <c r="K391" s="245"/>
    </row>
    <row r="392" spans="1:11" s="246" customFormat="1" ht="14.25" customHeight="1">
      <c r="A392" s="243"/>
      <c r="B392" s="21"/>
      <c r="C392" s="21"/>
      <c r="D392" s="211" t="s">
        <v>89</v>
      </c>
      <c r="E392" s="353">
        <v>920357</v>
      </c>
      <c r="F392" s="267">
        <f>SUM(G392:H392)</f>
        <v>891837.2</v>
      </c>
      <c r="G392" s="267">
        <v>891837.2</v>
      </c>
      <c r="H392" s="268"/>
      <c r="I392" s="54">
        <f>SUM(F392/E392)</f>
        <v>0.969</v>
      </c>
      <c r="J392" s="245"/>
      <c r="K392" s="245"/>
    </row>
    <row r="393" spans="1:11" s="246" customFormat="1" ht="8.25" customHeight="1">
      <c r="A393" s="243"/>
      <c r="B393" s="20"/>
      <c r="C393" s="80"/>
      <c r="D393" s="247"/>
      <c r="E393" s="191"/>
      <c r="F393" s="192"/>
      <c r="G393" s="193"/>
      <c r="H393" s="284"/>
      <c r="I393" s="82"/>
      <c r="J393" s="245"/>
      <c r="K393" s="245"/>
    </row>
    <row r="394" spans="1:11" s="246" customFormat="1" ht="18" customHeight="1">
      <c r="A394" s="243"/>
      <c r="B394" s="20">
        <v>85228</v>
      </c>
      <c r="C394" s="21"/>
      <c r="D394" s="211" t="s">
        <v>120</v>
      </c>
      <c r="E394" s="353">
        <f>E397</f>
        <v>126000</v>
      </c>
      <c r="F394" s="268">
        <f>F397</f>
        <v>126000</v>
      </c>
      <c r="G394" s="267">
        <f>G397</f>
        <v>126000</v>
      </c>
      <c r="H394" s="268">
        <f>H397</f>
        <v>0</v>
      </c>
      <c r="I394" s="54">
        <f>SUM(F394/E394)</f>
        <v>1</v>
      </c>
      <c r="J394" s="245"/>
      <c r="K394" s="245"/>
    </row>
    <row r="395" spans="1:11" s="246" customFormat="1" ht="14.25" customHeight="1">
      <c r="A395" s="243"/>
      <c r="B395" s="20"/>
      <c r="C395" s="80">
        <v>2010</v>
      </c>
      <c r="D395" s="247" t="s">
        <v>87</v>
      </c>
      <c r="E395" s="191"/>
      <c r="F395" s="192"/>
      <c r="G395" s="193"/>
      <c r="H395" s="192"/>
      <c r="I395" s="82"/>
      <c r="J395" s="245"/>
      <c r="K395" s="245"/>
    </row>
    <row r="396" spans="1:11" s="246" customFormat="1" ht="14.25" customHeight="1">
      <c r="A396" s="243"/>
      <c r="B396" s="20"/>
      <c r="C396" s="80"/>
      <c r="D396" s="247" t="s">
        <v>88</v>
      </c>
      <c r="E396" s="191"/>
      <c r="F396" s="192"/>
      <c r="G396" s="193"/>
      <c r="H396" s="192"/>
      <c r="I396" s="82"/>
      <c r="J396" s="245"/>
      <c r="K396" s="245"/>
    </row>
    <row r="397" spans="1:11" s="246" customFormat="1" ht="14.25" customHeight="1" thickBot="1">
      <c r="A397" s="243"/>
      <c r="B397" s="20"/>
      <c r="C397" s="20"/>
      <c r="D397" s="247" t="s">
        <v>89</v>
      </c>
      <c r="E397" s="191">
        <v>126000</v>
      </c>
      <c r="F397" s="193">
        <f>SUM(G397:H397)</f>
        <v>126000</v>
      </c>
      <c r="G397" s="193">
        <v>126000</v>
      </c>
      <c r="H397" s="192"/>
      <c r="I397" s="82">
        <f>SUM(F397/E397)</f>
        <v>1</v>
      </c>
      <c r="J397" s="245"/>
      <c r="K397" s="245"/>
    </row>
    <row r="398" spans="1:11" s="178" customFormat="1" ht="10.5" customHeight="1">
      <c r="A398" s="398"/>
      <c r="B398" s="431"/>
      <c r="C398" s="115"/>
      <c r="D398" s="432"/>
      <c r="E398" s="433"/>
      <c r="F398" s="434"/>
      <c r="G398" s="435"/>
      <c r="H398" s="436"/>
      <c r="I398" s="222"/>
      <c r="J398" s="223"/>
      <c r="K398" s="223"/>
    </row>
    <row r="399" spans="1:11" s="409" customFormat="1" ht="14.25" customHeight="1" thickBot="1">
      <c r="A399" s="404"/>
      <c r="B399" s="107"/>
      <c r="C399" s="118"/>
      <c r="D399" s="407" t="s">
        <v>281</v>
      </c>
      <c r="E399" s="437">
        <f>SUM(E371,E366,E350,E358,)+E343</f>
        <v>10338953.07</v>
      </c>
      <c r="F399" s="438">
        <f>SUM(F371,F366,F350,F358,)+F343</f>
        <v>9267007.95</v>
      </c>
      <c r="G399" s="438">
        <f>SUM(G371,G366,G350,G358,)+G343</f>
        <v>9267007.95</v>
      </c>
      <c r="H399" s="225">
        <f>SUM(H371,H366,H350,H358,)+H343</f>
        <v>0</v>
      </c>
      <c r="I399" s="108">
        <f>F399/E399</f>
        <v>0.8963</v>
      </c>
      <c r="J399" s="408"/>
      <c r="K399" s="408"/>
    </row>
    <row r="400" spans="1:17" s="441" customFormat="1" ht="13.5" customHeight="1">
      <c r="A400" s="60"/>
      <c r="B400" s="60"/>
      <c r="C400" s="49"/>
      <c r="D400" s="231"/>
      <c r="E400" s="439"/>
      <c r="F400" s="232"/>
      <c r="G400" s="440"/>
      <c r="H400" s="440"/>
      <c r="I400" s="409"/>
      <c r="J400" s="408"/>
      <c r="K400" s="408"/>
      <c r="L400" s="409"/>
      <c r="M400" s="409"/>
      <c r="N400" s="409"/>
      <c r="O400" s="409"/>
      <c r="P400" s="409"/>
      <c r="Q400" s="409"/>
    </row>
    <row r="401" spans="1:17" s="441" customFormat="1" ht="16.5" customHeight="1">
      <c r="A401" s="60"/>
      <c r="B401" s="60"/>
      <c r="C401" s="49"/>
      <c r="D401" s="231"/>
      <c r="E401" s="439"/>
      <c r="F401" s="232"/>
      <c r="G401" s="440"/>
      <c r="H401" s="440"/>
      <c r="I401" s="409"/>
      <c r="J401" s="408"/>
      <c r="K401" s="408"/>
      <c r="L401" s="409"/>
      <c r="M401" s="409"/>
      <c r="N401" s="409"/>
      <c r="O401" s="409"/>
      <c r="P401" s="409"/>
      <c r="Q401" s="409"/>
    </row>
    <row r="402" spans="1:9" s="15" customFormat="1" ht="14.25" customHeight="1">
      <c r="A402" s="628" t="s">
        <v>218</v>
      </c>
      <c r="B402" s="628"/>
      <c r="C402" s="628"/>
      <c r="D402" s="628"/>
      <c r="E402" s="628"/>
      <c r="F402" s="628"/>
      <c r="G402" s="628"/>
      <c r="H402" s="628"/>
      <c r="I402" s="628"/>
    </row>
    <row r="403" spans="1:11" s="178" customFormat="1" ht="14.25" customHeight="1">
      <c r="A403" s="629"/>
      <c r="B403" s="629"/>
      <c r="C403" s="629"/>
      <c r="D403" s="629"/>
      <c r="E403" s="629"/>
      <c r="F403" s="629"/>
      <c r="G403" s="629"/>
      <c r="H403" s="629"/>
      <c r="I403" s="629"/>
      <c r="J403" s="223"/>
      <c r="K403" s="223"/>
    </row>
    <row r="404" spans="1:11" s="178" customFormat="1" ht="14.25" customHeight="1" thickBot="1">
      <c r="A404" s="408"/>
      <c r="B404" s="442"/>
      <c r="C404" s="443"/>
      <c r="D404" s="444"/>
      <c r="E404" s="445"/>
      <c r="F404" s="416"/>
      <c r="G404" s="417"/>
      <c r="H404" s="237"/>
      <c r="I404" s="238" t="s">
        <v>100</v>
      </c>
      <c r="J404" s="223"/>
      <c r="K404" s="223"/>
    </row>
    <row r="405" spans="1:11" s="418" customFormat="1" ht="14.25" customHeight="1">
      <c r="A405" s="603" t="s">
        <v>264</v>
      </c>
      <c r="B405" s="605" t="s">
        <v>282</v>
      </c>
      <c r="C405" s="605" t="s">
        <v>77</v>
      </c>
      <c r="D405" s="605" t="s">
        <v>283</v>
      </c>
      <c r="E405" s="618" t="s">
        <v>190</v>
      </c>
      <c r="F405" s="620" t="s">
        <v>193</v>
      </c>
      <c r="G405" s="622" t="s">
        <v>284</v>
      </c>
      <c r="H405" s="623"/>
      <c r="I405" s="607" t="s">
        <v>33</v>
      </c>
      <c r="J405" s="239"/>
      <c r="K405" s="239"/>
    </row>
    <row r="406" spans="1:11" s="419" customFormat="1" ht="25.5">
      <c r="A406" s="604"/>
      <c r="B406" s="606"/>
      <c r="C406" s="606"/>
      <c r="D406" s="606"/>
      <c r="E406" s="619"/>
      <c r="F406" s="621"/>
      <c r="G406" s="168" t="s">
        <v>194</v>
      </c>
      <c r="H406" s="169" t="s">
        <v>195</v>
      </c>
      <c r="I406" s="608"/>
      <c r="J406" s="241"/>
      <c r="K406" s="241"/>
    </row>
    <row r="407" spans="1:11" s="178" customFormat="1" ht="14.25" customHeight="1" thickBot="1">
      <c r="A407" s="471">
        <v>1</v>
      </c>
      <c r="B407" s="50">
        <v>2</v>
      </c>
      <c r="C407" s="50">
        <v>3</v>
      </c>
      <c r="D407" s="50">
        <v>4</v>
      </c>
      <c r="E407" s="472">
        <v>5</v>
      </c>
      <c r="F407" s="473">
        <v>6</v>
      </c>
      <c r="G407" s="474">
        <v>7</v>
      </c>
      <c r="H407" s="475">
        <v>8</v>
      </c>
      <c r="I407" s="476">
        <v>9</v>
      </c>
      <c r="J407" s="223"/>
      <c r="K407" s="223"/>
    </row>
    <row r="408" spans="1:11" s="178" customFormat="1" ht="14.25" customHeight="1">
      <c r="A408" s="448"/>
      <c r="B408" s="449"/>
      <c r="C408" s="128"/>
      <c r="D408" s="449"/>
      <c r="E408" s="450"/>
      <c r="F408" s="451"/>
      <c r="G408" s="200"/>
      <c r="H408" s="452"/>
      <c r="I408" s="32"/>
      <c r="J408" s="223"/>
      <c r="K408" s="223"/>
    </row>
    <row r="409" spans="1:11" s="178" customFormat="1" ht="14.25" customHeight="1">
      <c r="A409" s="243">
        <v>600</v>
      </c>
      <c r="B409" s="211"/>
      <c r="C409" s="61"/>
      <c r="D409" s="211" t="s">
        <v>266</v>
      </c>
      <c r="E409" s="360">
        <f>SUM(E414+E411)</f>
        <v>550000</v>
      </c>
      <c r="F409" s="267">
        <f>SUM(F414+F411)</f>
        <v>550000</v>
      </c>
      <c r="G409" s="267">
        <f>SUM(G414+G411)</f>
        <v>300000</v>
      </c>
      <c r="H409" s="391">
        <f>SUM(H411+H414)</f>
        <v>250000</v>
      </c>
      <c r="I409" s="54">
        <f>SUM(F409/E409)</f>
        <v>1</v>
      </c>
      <c r="J409" s="223"/>
      <c r="K409" s="223"/>
    </row>
    <row r="410" spans="1:11" s="178" customFormat="1" ht="14.25" customHeight="1" hidden="1">
      <c r="A410" s="243"/>
      <c r="B410" s="247"/>
      <c r="C410" s="130"/>
      <c r="D410" s="247"/>
      <c r="E410" s="453"/>
      <c r="F410" s="193"/>
      <c r="G410" s="193"/>
      <c r="H410" s="388"/>
      <c r="I410" s="82"/>
      <c r="J410" s="223"/>
      <c r="K410" s="223"/>
    </row>
    <row r="411" spans="1:11" s="178" customFormat="1" ht="14.25" customHeight="1" hidden="1" thickBot="1">
      <c r="A411" s="243"/>
      <c r="B411" s="20">
        <v>60013</v>
      </c>
      <c r="C411" s="61"/>
      <c r="D411" s="211" t="s">
        <v>61</v>
      </c>
      <c r="E411" s="360">
        <f>SUM(E412)</f>
        <v>0</v>
      </c>
      <c r="F411" s="267"/>
      <c r="G411" s="267">
        <f>SUM(G412)</f>
        <v>0</v>
      </c>
      <c r="H411" s="391">
        <f>SUM(H412)</f>
        <v>0</v>
      </c>
      <c r="I411" s="54" t="e">
        <f>SUM(F411/E411)</f>
        <v>#DIV/0!</v>
      </c>
      <c r="J411" s="223"/>
      <c r="K411" s="223"/>
    </row>
    <row r="412" spans="1:11" s="178" customFormat="1" ht="25.5" hidden="1">
      <c r="A412" s="243"/>
      <c r="B412" s="21"/>
      <c r="C412" s="21">
        <v>6298</v>
      </c>
      <c r="D412" s="70" t="s">
        <v>6</v>
      </c>
      <c r="E412" s="360">
        <v>0</v>
      </c>
      <c r="F412" s="267">
        <f>SUM(G412:H412)</f>
        <v>0</v>
      </c>
      <c r="G412" s="267"/>
      <c r="H412" s="391">
        <v>0</v>
      </c>
      <c r="I412" s="54" t="e">
        <f>SUM(F412/E412)</f>
        <v>#DIV/0!</v>
      </c>
      <c r="J412" s="223"/>
      <c r="K412" s="223"/>
    </row>
    <row r="413" spans="1:11" s="178" customFormat="1" ht="12.75">
      <c r="A413" s="243"/>
      <c r="B413" s="20"/>
      <c r="C413" s="20"/>
      <c r="D413" s="78"/>
      <c r="E413" s="454"/>
      <c r="F413" s="197"/>
      <c r="G413" s="193"/>
      <c r="H413" s="388"/>
      <c r="I413" s="82"/>
      <c r="J413" s="223"/>
      <c r="K413" s="223"/>
    </row>
    <row r="414" spans="1:11" s="178" customFormat="1" ht="14.25" customHeight="1">
      <c r="A414" s="243"/>
      <c r="B414" s="20">
        <v>60014</v>
      </c>
      <c r="C414" s="61"/>
      <c r="D414" s="211" t="s">
        <v>92</v>
      </c>
      <c r="E414" s="360">
        <f>SUM(E415:E416)</f>
        <v>550000</v>
      </c>
      <c r="F414" s="267">
        <f>SUM(F415:F416)</f>
        <v>550000</v>
      </c>
      <c r="G414" s="267">
        <f>SUM(G415:G416)</f>
        <v>300000</v>
      </c>
      <c r="H414" s="391">
        <f>SUM(H415:H416)</f>
        <v>250000</v>
      </c>
      <c r="I414" s="54">
        <f>SUM(F414/E414)</f>
        <v>1</v>
      </c>
      <c r="J414" s="223"/>
      <c r="K414" s="223"/>
    </row>
    <row r="415" spans="1:11" s="178" customFormat="1" ht="26.25" customHeight="1">
      <c r="A415" s="243"/>
      <c r="B415" s="20"/>
      <c r="C415" s="20">
        <v>2320</v>
      </c>
      <c r="D415" s="123" t="s">
        <v>154</v>
      </c>
      <c r="E415" s="454">
        <v>300000</v>
      </c>
      <c r="F415" s="267">
        <f>SUM(G415:H415)</f>
        <v>300000</v>
      </c>
      <c r="G415" s="193">
        <v>300000</v>
      </c>
      <c r="H415" s="388"/>
      <c r="I415" s="54">
        <f>SUM(F415/E415)</f>
        <v>1</v>
      </c>
      <c r="J415" s="223"/>
      <c r="K415" s="223"/>
    </row>
    <row r="416" spans="1:11" s="178" customFormat="1" ht="43.5" customHeight="1">
      <c r="A416" s="292"/>
      <c r="B416" s="21"/>
      <c r="C416" s="22">
        <v>6620</v>
      </c>
      <c r="D416" s="66" t="s">
        <v>219</v>
      </c>
      <c r="E416" s="266">
        <v>250000</v>
      </c>
      <c r="F416" s="267">
        <f>SUM(G416:H416)</f>
        <v>250000</v>
      </c>
      <c r="G416" s="290">
        <v>0</v>
      </c>
      <c r="H416" s="291">
        <v>250000</v>
      </c>
      <c r="I416" s="65">
        <f>SUM(F416/E416)</f>
        <v>1</v>
      </c>
      <c r="J416" s="223"/>
      <c r="K416" s="223"/>
    </row>
    <row r="417" spans="1:11" s="369" customFormat="1" ht="14.25" customHeight="1">
      <c r="A417" s="163"/>
      <c r="B417" s="51"/>
      <c r="C417" s="51"/>
      <c r="D417" s="51"/>
      <c r="E417" s="364"/>
      <c r="F417" s="365"/>
      <c r="G417" s="366"/>
      <c r="H417" s="367"/>
      <c r="I417" s="82"/>
      <c r="J417" s="368"/>
      <c r="K417" s="368"/>
    </row>
    <row r="418" spans="1:11" s="246" customFormat="1" ht="14.25" customHeight="1">
      <c r="A418" s="243">
        <v>853</v>
      </c>
      <c r="B418" s="244"/>
      <c r="C418" s="21"/>
      <c r="D418" s="211" t="s">
        <v>2</v>
      </c>
      <c r="E418" s="72">
        <f>SUM(E420)</f>
        <v>5000</v>
      </c>
      <c r="F418" s="175">
        <f>SUM(F420)</f>
        <v>5000</v>
      </c>
      <c r="G418" s="175">
        <f>SUM(G420)</f>
        <v>5000</v>
      </c>
      <c r="H418" s="175">
        <f>SUM(H420)</f>
        <v>0</v>
      </c>
      <c r="I418" s="54">
        <f>SUM(F418/E418)</f>
        <v>1</v>
      </c>
      <c r="J418" s="245"/>
      <c r="K418" s="245"/>
    </row>
    <row r="419" spans="1:11" s="246" customFormat="1" ht="12.75">
      <c r="A419" s="243"/>
      <c r="B419" s="20"/>
      <c r="C419" s="20"/>
      <c r="D419" s="78"/>
      <c r="E419" s="210"/>
      <c r="F419" s="252"/>
      <c r="G419" s="305"/>
      <c r="H419" s="284"/>
      <c r="I419" s="82"/>
      <c r="J419" s="245"/>
      <c r="K419" s="245"/>
    </row>
    <row r="420" spans="1:11" s="246" customFormat="1" ht="12.75">
      <c r="A420" s="243"/>
      <c r="B420" s="20">
        <v>85395</v>
      </c>
      <c r="C420" s="79"/>
      <c r="D420" s="70" t="s">
        <v>68</v>
      </c>
      <c r="E420" s="72">
        <f>SUM(E422)</f>
        <v>5000</v>
      </c>
      <c r="F420" s="175">
        <f>SUM(F422)</f>
        <v>5000</v>
      </c>
      <c r="G420" s="267">
        <f>SUM(G422)</f>
        <v>5000</v>
      </c>
      <c r="H420" s="267">
        <f>SUM(H422)</f>
        <v>0</v>
      </c>
      <c r="I420" s="54">
        <f>SUM(F420/E420)</f>
        <v>1</v>
      </c>
      <c r="J420" s="245"/>
      <c r="K420" s="245"/>
    </row>
    <row r="421" spans="1:11" s="246" customFormat="1" ht="12.75">
      <c r="A421" s="243"/>
      <c r="B421" s="20"/>
      <c r="C421" s="80"/>
      <c r="D421" s="78"/>
      <c r="E421" s="210"/>
      <c r="F421" s="209"/>
      <c r="G421" s="192"/>
      <c r="H421" s="197"/>
      <c r="I421" s="455"/>
      <c r="J421" s="245"/>
      <c r="K421" s="245"/>
    </row>
    <row r="422" spans="1:11" s="246" customFormat="1" ht="25.5" customHeight="1" thickBot="1">
      <c r="A422" s="243"/>
      <c r="B422" s="20"/>
      <c r="C422" s="20">
        <v>2320</v>
      </c>
      <c r="D422" s="123" t="s">
        <v>154</v>
      </c>
      <c r="E422" s="210">
        <v>5000</v>
      </c>
      <c r="F422" s="209">
        <f>SUM(G422:H422)</f>
        <v>5000</v>
      </c>
      <c r="G422" s="193">
        <v>5000</v>
      </c>
      <c r="H422" s="192"/>
      <c r="I422" s="82">
        <f>SUM(F422/E422)</f>
        <v>1</v>
      </c>
      <c r="J422" s="245"/>
      <c r="K422" s="245"/>
    </row>
    <row r="423" spans="1:11" s="178" customFormat="1" ht="14.25" customHeight="1">
      <c r="A423" s="456"/>
      <c r="B423" s="432"/>
      <c r="C423" s="115"/>
      <c r="D423" s="432"/>
      <c r="E423" s="457"/>
      <c r="F423" s="458"/>
      <c r="G423" s="435"/>
      <c r="H423" s="436"/>
      <c r="I423" s="222"/>
      <c r="J423" s="223"/>
      <c r="K423" s="223"/>
    </row>
    <row r="424" spans="1:11" s="447" customFormat="1" ht="14.25" customHeight="1" thickBot="1">
      <c r="A424" s="459"/>
      <c r="B424" s="407"/>
      <c r="C424" s="460"/>
      <c r="D424" s="407" t="s">
        <v>281</v>
      </c>
      <c r="E424" s="461">
        <f>SUM(E409)+E418</f>
        <v>555000</v>
      </c>
      <c r="F424" s="438">
        <f>SUM(F409)+F418</f>
        <v>555000</v>
      </c>
      <c r="G424" s="438">
        <f>SUM(G409)+G418</f>
        <v>305000</v>
      </c>
      <c r="H424" s="225">
        <f>SUM(H409)+H418</f>
        <v>250000</v>
      </c>
      <c r="I424" s="108">
        <f>F424/E424</f>
        <v>1</v>
      </c>
      <c r="J424" s="446"/>
      <c r="K424" s="446"/>
    </row>
    <row r="425" spans="1:11" s="178" customFormat="1" ht="14.25" customHeight="1">
      <c r="A425" s="462"/>
      <c r="B425" s="462"/>
      <c r="C425" s="62"/>
      <c r="D425" s="231"/>
      <c r="E425" s="439"/>
      <c r="F425" s="232"/>
      <c r="G425" s="440"/>
      <c r="H425" s="440"/>
      <c r="I425" s="463"/>
      <c r="J425" s="223"/>
      <c r="K425" s="223"/>
    </row>
    <row r="426" spans="1:9" s="15" customFormat="1" ht="14.25" customHeight="1">
      <c r="A426" s="628" t="s">
        <v>220</v>
      </c>
      <c r="B426" s="628"/>
      <c r="C426" s="628"/>
      <c r="D426" s="628"/>
      <c r="E426" s="628"/>
      <c r="F426" s="628"/>
      <c r="G426" s="628"/>
      <c r="H426" s="628"/>
      <c r="I426" s="14"/>
    </row>
    <row r="427" spans="1:17" s="464" customFormat="1" ht="14.25" customHeight="1" thickBot="1">
      <c r="A427" s="408"/>
      <c r="B427" s="442"/>
      <c r="C427" s="443"/>
      <c r="D427" s="444"/>
      <c r="E427" s="445"/>
      <c r="F427" s="416"/>
      <c r="G427" s="417"/>
      <c r="H427" s="237"/>
      <c r="I427" s="238" t="s">
        <v>100</v>
      </c>
      <c r="J427" s="223"/>
      <c r="K427" s="223"/>
      <c r="L427" s="178"/>
      <c r="M427" s="178"/>
      <c r="N427" s="178"/>
      <c r="O427" s="178"/>
      <c r="P427" s="178"/>
      <c r="Q427" s="178"/>
    </row>
    <row r="428" spans="1:17" s="467" customFormat="1" ht="14.25" customHeight="1">
      <c r="A428" s="603" t="s">
        <v>264</v>
      </c>
      <c r="B428" s="605" t="s">
        <v>282</v>
      </c>
      <c r="C428" s="605" t="s">
        <v>77</v>
      </c>
      <c r="D428" s="605" t="s">
        <v>283</v>
      </c>
      <c r="E428" s="618" t="s">
        <v>190</v>
      </c>
      <c r="F428" s="620" t="s">
        <v>193</v>
      </c>
      <c r="G428" s="622" t="s">
        <v>284</v>
      </c>
      <c r="H428" s="623"/>
      <c r="I428" s="607" t="s">
        <v>33</v>
      </c>
      <c r="J428" s="465"/>
      <c r="K428" s="465"/>
      <c r="L428" s="466"/>
      <c r="M428" s="466"/>
      <c r="N428" s="466"/>
      <c r="O428" s="466"/>
      <c r="P428" s="466"/>
      <c r="Q428" s="466"/>
    </row>
    <row r="429" spans="1:17" s="470" customFormat="1" ht="25.5">
      <c r="A429" s="604"/>
      <c r="B429" s="606"/>
      <c r="C429" s="606"/>
      <c r="D429" s="606"/>
      <c r="E429" s="619"/>
      <c r="F429" s="621"/>
      <c r="G429" s="168" t="s">
        <v>194</v>
      </c>
      <c r="H429" s="169" t="s">
        <v>195</v>
      </c>
      <c r="I429" s="608"/>
      <c r="J429" s="468"/>
      <c r="K429" s="468"/>
      <c r="L429" s="469"/>
      <c r="M429" s="469"/>
      <c r="N429" s="469"/>
      <c r="O429" s="469"/>
      <c r="P429" s="469"/>
      <c r="Q429" s="469"/>
    </row>
    <row r="430" spans="1:17" s="464" customFormat="1" ht="14.25" customHeight="1" thickBot="1">
      <c r="A430" s="471">
        <v>1</v>
      </c>
      <c r="B430" s="50">
        <v>2</v>
      </c>
      <c r="C430" s="50">
        <v>3</v>
      </c>
      <c r="D430" s="50">
        <v>4</v>
      </c>
      <c r="E430" s="472">
        <v>5</v>
      </c>
      <c r="F430" s="473">
        <v>6</v>
      </c>
      <c r="G430" s="474">
        <v>7</v>
      </c>
      <c r="H430" s="475">
        <v>8</v>
      </c>
      <c r="I430" s="476">
        <v>9</v>
      </c>
      <c r="J430" s="223"/>
      <c r="K430" s="223"/>
      <c r="L430" s="178"/>
      <c r="M430" s="178"/>
      <c r="N430" s="178"/>
      <c r="O430" s="178"/>
      <c r="P430" s="178"/>
      <c r="Q430" s="178"/>
    </row>
    <row r="431" spans="1:17" s="481" customFormat="1" ht="14.25" customHeight="1">
      <c r="A431" s="163"/>
      <c r="B431" s="51"/>
      <c r="C431" s="51"/>
      <c r="D431" s="51"/>
      <c r="E431" s="477"/>
      <c r="F431" s="478"/>
      <c r="G431" s="479"/>
      <c r="H431" s="480"/>
      <c r="I431" s="47"/>
      <c r="J431" s="368"/>
      <c r="K431" s="368"/>
      <c r="L431" s="369"/>
      <c r="M431" s="369"/>
      <c r="N431" s="369"/>
      <c r="O431" s="369"/>
      <c r="P431" s="369"/>
      <c r="Q431" s="369"/>
    </row>
    <row r="432" spans="1:17" s="265" customFormat="1" ht="14.25" customHeight="1">
      <c r="A432" s="243">
        <v>853</v>
      </c>
      <c r="B432" s="244"/>
      <c r="C432" s="21"/>
      <c r="D432" s="211" t="s">
        <v>2</v>
      </c>
      <c r="E432" s="72">
        <f>SUM(E434)</f>
        <v>639087</v>
      </c>
      <c r="F432" s="175">
        <f>SUM(F434)</f>
        <v>609478.9</v>
      </c>
      <c r="G432" s="175">
        <f>SUM(G434)</f>
        <v>609478.9</v>
      </c>
      <c r="H432" s="175">
        <f>SUM(H434)</f>
        <v>0</v>
      </c>
      <c r="I432" s="54">
        <f>SUM(F432/E432)</f>
        <v>0.9537</v>
      </c>
      <c r="J432" s="245"/>
      <c r="K432" s="245"/>
      <c r="L432" s="246"/>
      <c r="M432" s="246"/>
      <c r="N432" s="246"/>
      <c r="O432" s="246"/>
      <c r="P432" s="246"/>
      <c r="Q432" s="246"/>
    </row>
    <row r="433" spans="1:17" s="265" customFormat="1" ht="12.75">
      <c r="A433" s="243"/>
      <c r="B433" s="20"/>
      <c r="C433" s="20"/>
      <c r="D433" s="78"/>
      <c r="E433" s="210"/>
      <c r="F433" s="209"/>
      <c r="G433" s="193"/>
      <c r="H433" s="192"/>
      <c r="I433" s="82"/>
      <c r="J433" s="245"/>
      <c r="K433" s="245"/>
      <c r="L433" s="246"/>
      <c r="M433" s="246"/>
      <c r="N433" s="246"/>
      <c r="O433" s="246"/>
      <c r="P433" s="246"/>
      <c r="Q433" s="246"/>
    </row>
    <row r="434" spans="1:17" s="265" customFormat="1" ht="12.75">
      <c r="A434" s="243"/>
      <c r="B434" s="20">
        <v>85395</v>
      </c>
      <c r="C434" s="79"/>
      <c r="D434" s="70" t="s">
        <v>68</v>
      </c>
      <c r="E434" s="72">
        <f>SUM(E435:E436)</f>
        <v>639087</v>
      </c>
      <c r="F434" s="175">
        <f>SUM(F435:F436)</f>
        <v>609478.9</v>
      </c>
      <c r="G434" s="175">
        <f>SUM(G435:G436)</f>
        <v>609478.9</v>
      </c>
      <c r="H434" s="175">
        <f>SUM(H435:H436)</f>
        <v>0</v>
      </c>
      <c r="I434" s="54">
        <f>SUM(F434/E434)</f>
        <v>0.9537</v>
      </c>
      <c r="J434" s="245"/>
      <c r="K434" s="245"/>
      <c r="L434" s="246"/>
      <c r="M434" s="246"/>
      <c r="N434" s="246"/>
      <c r="O434" s="246"/>
      <c r="P434" s="246"/>
      <c r="Q434" s="246"/>
    </row>
    <row r="435" spans="1:11" s="246" customFormat="1" ht="31.5" customHeight="1">
      <c r="A435" s="243"/>
      <c r="B435" s="20"/>
      <c r="C435" s="22">
        <v>2008</v>
      </c>
      <c r="D435" s="287" t="s">
        <v>209</v>
      </c>
      <c r="E435" s="73">
        <v>603599</v>
      </c>
      <c r="F435" s="309">
        <f>SUM(G435:H435)</f>
        <v>575610.96</v>
      </c>
      <c r="G435" s="290">
        <v>575610.96</v>
      </c>
      <c r="H435" s="291"/>
      <c r="I435" s="65">
        <f>SUM(F435/E435)</f>
        <v>0.9536</v>
      </c>
      <c r="J435" s="245"/>
      <c r="K435" s="245"/>
    </row>
    <row r="436" spans="1:11" s="246" customFormat="1" ht="31.5" customHeight="1" thickBot="1">
      <c r="A436" s="243"/>
      <c r="B436" s="20"/>
      <c r="C436" s="20">
        <v>2009</v>
      </c>
      <c r="D436" s="287" t="s">
        <v>209</v>
      </c>
      <c r="E436" s="210">
        <v>35488</v>
      </c>
      <c r="F436" s="209">
        <f>SUM(G436:H436)</f>
        <v>33867.94</v>
      </c>
      <c r="G436" s="193">
        <v>33867.94</v>
      </c>
      <c r="H436" s="192"/>
      <c r="I436" s="82">
        <f>SUM(F436/E436)</f>
        <v>0.9543</v>
      </c>
      <c r="J436" s="245"/>
      <c r="K436" s="245"/>
    </row>
    <row r="437" spans="1:17" s="464" customFormat="1" ht="14.25" customHeight="1">
      <c r="A437" s="456"/>
      <c r="B437" s="432"/>
      <c r="C437" s="115"/>
      <c r="D437" s="432"/>
      <c r="E437" s="457"/>
      <c r="F437" s="220"/>
      <c r="G437" s="221"/>
      <c r="H437" s="436"/>
      <c r="I437" s="222"/>
      <c r="J437" s="223"/>
      <c r="K437" s="223"/>
      <c r="L437" s="178"/>
      <c r="M437" s="178"/>
      <c r="N437" s="178"/>
      <c r="O437" s="178"/>
      <c r="P437" s="178"/>
      <c r="Q437" s="178"/>
    </row>
    <row r="438" spans="1:17" s="482" customFormat="1" ht="14.25" customHeight="1" thickBot="1">
      <c r="A438" s="459"/>
      <c r="B438" s="407"/>
      <c r="C438" s="460"/>
      <c r="D438" s="407" t="s">
        <v>281</v>
      </c>
      <c r="E438" s="461">
        <f>SUM(E432)</f>
        <v>639087</v>
      </c>
      <c r="F438" s="438">
        <f>SUM(F432)</f>
        <v>609478.9</v>
      </c>
      <c r="G438" s="438">
        <f>SUM(G432)</f>
        <v>609478.9</v>
      </c>
      <c r="H438" s="438">
        <f>SUM(H432)</f>
        <v>0</v>
      </c>
      <c r="I438" s="138">
        <f>F438/E438</f>
        <v>0.9537</v>
      </c>
      <c r="J438" s="446"/>
      <c r="K438" s="446"/>
      <c r="L438" s="447"/>
      <c r="M438" s="447"/>
      <c r="N438" s="447"/>
      <c r="O438" s="447"/>
      <c r="P438" s="447"/>
      <c r="Q438" s="447"/>
    </row>
    <row r="439" spans="1:17" s="482" customFormat="1" ht="14.25" customHeight="1">
      <c r="A439" s="231"/>
      <c r="B439" s="231"/>
      <c r="C439" s="110"/>
      <c r="D439" s="231"/>
      <c r="E439" s="439"/>
      <c r="F439" s="228"/>
      <c r="G439" s="228"/>
      <c r="H439" s="228"/>
      <c r="I439" s="483"/>
      <c r="J439" s="446"/>
      <c r="K439" s="446"/>
      <c r="L439" s="447"/>
      <c r="M439" s="447"/>
      <c r="N439" s="447"/>
      <c r="O439" s="447"/>
      <c r="P439" s="447"/>
      <c r="Q439" s="447"/>
    </row>
    <row r="440" spans="1:17" s="464" customFormat="1" ht="22.5" customHeight="1">
      <c r="A440" s="630"/>
      <c r="B440" s="630"/>
      <c r="C440" s="630"/>
      <c r="D440" s="630"/>
      <c r="E440" s="630"/>
      <c r="F440" s="630"/>
      <c r="G440" s="630"/>
      <c r="H440" s="630"/>
      <c r="I440" s="630"/>
      <c r="J440" s="223"/>
      <c r="K440" s="223"/>
      <c r="L440" s="178"/>
      <c r="M440" s="178"/>
      <c r="N440" s="178"/>
      <c r="O440" s="178"/>
      <c r="P440" s="178"/>
      <c r="Q440" s="178"/>
    </row>
    <row r="441" spans="1:17" s="464" customFormat="1" ht="14.25" customHeight="1">
      <c r="A441" s="628" t="s">
        <v>221</v>
      </c>
      <c r="B441" s="628"/>
      <c r="C441" s="628"/>
      <c r="D441" s="628"/>
      <c r="E441" s="628"/>
      <c r="F441" s="628"/>
      <c r="G441" s="628"/>
      <c r="H441" s="628"/>
      <c r="I441" s="109"/>
      <c r="J441" s="223"/>
      <c r="K441" s="223"/>
      <c r="L441" s="178"/>
      <c r="M441" s="178"/>
      <c r="N441" s="178"/>
      <c r="O441" s="178"/>
      <c r="P441" s="178"/>
      <c r="Q441" s="178"/>
    </row>
    <row r="442" spans="1:17" s="464" customFormat="1" ht="14.25" customHeight="1" thickBot="1">
      <c r="A442" s="408"/>
      <c r="B442" s="442"/>
      <c r="C442" s="443"/>
      <c r="D442" s="444"/>
      <c r="E442" s="445"/>
      <c r="F442" s="416"/>
      <c r="G442" s="417"/>
      <c r="H442" s="237"/>
      <c r="I442" s="238" t="s">
        <v>100</v>
      </c>
      <c r="J442" s="223"/>
      <c r="K442" s="223"/>
      <c r="L442" s="178"/>
      <c r="M442" s="178"/>
      <c r="N442" s="178"/>
      <c r="O442" s="178"/>
      <c r="P442" s="178"/>
      <c r="Q442" s="178"/>
    </row>
    <row r="443" spans="1:17" s="467" customFormat="1" ht="14.25" customHeight="1">
      <c r="A443" s="603" t="s">
        <v>264</v>
      </c>
      <c r="B443" s="605" t="s">
        <v>282</v>
      </c>
      <c r="C443" s="605" t="s">
        <v>77</v>
      </c>
      <c r="D443" s="605" t="s">
        <v>283</v>
      </c>
      <c r="E443" s="618" t="s">
        <v>190</v>
      </c>
      <c r="F443" s="620" t="s">
        <v>193</v>
      </c>
      <c r="G443" s="622" t="s">
        <v>284</v>
      </c>
      <c r="H443" s="623"/>
      <c r="I443" s="607" t="s">
        <v>33</v>
      </c>
      <c r="J443" s="465"/>
      <c r="K443" s="465"/>
      <c r="L443" s="466"/>
      <c r="M443" s="466"/>
      <c r="N443" s="466"/>
      <c r="O443" s="466"/>
      <c r="P443" s="466"/>
      <c r="Q443" s="466"/>
    </row>
    <row r="444" spans="1:17" s="470" customFormat="1" ht="25.5">
      <c r="A444" s="604"/>
      <c r="B444" s="606"/>
      <c r="C444" s="606"/>
      <c r="D444" s="606"/>
      <c r="E444" s="619"/>
      <c r="F444" s="621"/>
      <c r="G444" s="168" t="s">
        <v>194</v>
      </c>
      <c r="H444" s="169" t="s">
        <v>195</v>
      </c>
      <c r="I444" s="608"/>
      <c r="J444" s="468"/>
      <c r="K444" s="468"/>
      <c r="L444" s="469"/>
      <c r="M444" s="469"/>
      <c r="N444" s="469"/>
      <c r="O444" s="469"/>
      <c r="P444" s="469"/>
      <c r="Q444" s="469"/>
    </row>
    <row r="445" spans="1:17" s="464" customFormat="1" ht="14.25" customHeight="1" thickBot="1">
      <c r="A445" s="471">
        <v>1</v>
      </c>
      <c r="B445" s="50">
        <v>2</v>
      </c>
      <c r="C445" s="50">
        <v>3</v>
      </c>
      <c r="D445" s="50">
        <v>4</v>
      </c>
      <c r="E445" s="472">
        <v>5</v>
      </c>
      <c r="F445" s="473">
        <v>6</v>
      </c>
      <c r="G445" s="474">
        <v>7</v>
      </c>
      <c r="H445" s="475">
        <v>8</v>
      </c>
      <c r="I445" s="476">
        <v>9</v>
      </c>
      <c r="J445" s="223"/>
      <c r="K445" s="223"/>
      <c r="L445" s="178"/>
      <c r="M445" s="178"/>
      <c r="N445" s="178"/>
      <c r="O445" s="178"/>
      <c r="P445" s="178"/>
      <c r="Q445" s="178"/>
    </row>
    <row r="446" spans="1:17" s="481" customFormat="1" ht="14.25" customHeight="1">
      <c r="A446" s="163"/>
      <c r="B446" s="51"/>
      <c r="C446" s="51"/>
      <c r="D446" s="51"/>
      <c r="E446" s="477"/>
      <c r="F446" s="478"/>
      <c r="G446" s="479"/>
      <c r="H446" s="480"/>
      <c r="I446" s="47"/>
      <c r="J446" s="368"/>
      <c r="K446" s="368"/>
      <c r="L446" s="369"/>
      <c r="M446" s="369"/>
      <c r="N446" s="369"/>
      <c r="O446" s="369"/>
      <c r="P446" s="369"/>
      <c r="Q446" s="369"/>
    </row>
    <row r="447" spans="1:17" s="265" customFormat="1" ht="14.25" customHeight="1">
      <c r="A447" s="243">
        <v>852</v>
      </c>
      <c r="B447" s="244"/>
      <c r="C447" s="21"/>
      <c r="D447" s="211" t="s">
        <v>116</v>
      </c>
      <c r="E447" s="72">
        <f>SUM(E449)</f>
        <v>29231</v>
      </c>
      <c r="F447" s="175">
        <f>SUM(F449)</f>
        <v>29231</v>
      </c>
      <c r="G447" s="175">
        <f>SUM(G449)</f>
        <v>29231</v>
      </c>
      <c r="H447" s="175">
        <f>SUM(H449)</f>
        <v>0</v>
      </c>
      <c r="I447" s="54">
        <f>SUM(F447/E447)</f>
        <v>1</v>
      </c>
      <c r="J447" s="245"/>
      <c r="K447" s="245"/>
      <c r="L447" s="246"/>
      <c r="M447" s="246"/>
      <c r="N447" s="246"/>
      <c r="O447" s="246"/>
      <c r="P447" s="246"/>
      <c r="Q447" s="246"/>
    </row>
    <row r="448" spans="1:17" s="265" customFormat="1" ht="12.75">
      <c r="A448" s="243"/>
      <c r="B448" s="20"/>
      <c r="C448" s="20"/>
      <c r="D448" s="78"/>
      <c r="E448" s="210"/>
      <c r="F448" s="209"/>
      <c r="G448" s="193"/>
      <c r="H448" s="192"/>
      <c r="I448" s="82"/>
      <c r="J448" s="245"/>
      <c r="K448" s="245"/>
      <c r="L448" s="246"/>
      <c r="M448" s="246"/>
      <c r="N448" s="246"/>
      <c r="O448" s="246"/>
      <c r="P448" s="246"/>
      <c r="Q448" s="246"/>
    </row>
    <row r="449" spans="1:17" s="265" customFormat="1" ht="12.75">
      <c r="A449" s="243"/>
      <c r="B449" s="20">
        <v>85295</v>
      </c>
      <c r="C449" s="79"/>
      <c r="D449" s="70" t="s">
        <v>68</v>
      </c>
      <c r="E449" s="72">
        <f>E450</f>
        <v>29231</v>
      </c>
      <c r="F449" s="175">
        <f>F450</f>
        <v>29231</v>
      </c>
      <c r="G449" s="175">
        <f>G450</f>
        <v>29231</v>
      </c>
      <c r="H449" s="175">
        <f>H450</f>
        <v>0</v>
      </c>
      <c r="I449" s="54">
        <f>SUM(F449/E449)</f>
        <v>1</v>
      </c>
      <c r="J449" s="245"/>
      <c r="K449" s="245"/>
      <c r="L449" s="246"/>
      <c r="M449" s="246"/>
      <c r="N449" s="246"/>
      <c r="O449" s="246"/>
      <c r="P449" s="246"/>
      <c r="Q449" s="246"/>
    </row>
    <row r="450" spans="1:11" s="246" customFormat="1" ht="27.75" customHeight="1" thickBot="1">
      <c r="A450" s="243"/>
      <c r="B450" s="20"/>
      <c r="C450" s="22">
        <v>2020</v>
      </c>
      <c r="D450" s="287" t="s">
        <v>222</v>
      </c>
      <c r="E450" s="73">
        <v>29231</v>
      </c>
      <c r="F450" s="309">
        <f>SUM(G450:H450)</f>
        <v>29231</v>
      </c>
      <c r="G450" s="290">
        <v>29231</v>
      </c>
      <c r="H450" s="291"/>
      <c r="I450" s="65">
        <f>SUM(F450/E450)</f>
        <v>1</v>
      </c>
      <c r="J450" s="245"/>
      <c r="K450" s="245"/>
    </row>
    <row r="451" spans="1:17" s="464" customFormat="1" ht="14.25" customHeight="1">
      <c r="A451" s="456"/>
      <c r="B451" s="432"/>
      <c r="C451" s="115"/>
      <c r="D451" s="432"/>
      <c r="E451" s="457"/>
      <c r="F451" s="220"/>
      <c r="G451" s="221"/>
      <c r="H451" s="452"/>
      <c r="I451" s="222"/>
      <c r="J451" s="223"/>
      <c r="K451" s="223"/>
      <c r="L451" s="178"/>
      <c r="M451" s="178"/>
      <c r="N451" s="178"/>
      <c r="O451" s="178"/>
      <c r="P451" s="178"/>
      <c r="Q451" s="178"/>
    </row>
    <row r="452" spans="1:17" s="482" customFormat="1" ht="14.25" customHeight="1" thickBot="1">
      <c r="A452" s="459"/>
      <c r="B452" s="407"/>
      <c r="C452" s="460"/>
      <c r="D452" s="407" t="s">
        <v>281</v>
      </c>
      <c r="E452" s="461">
        <f>SUM(E447)</f>
        <v>29231</v>
      </c>
      <c r="F452" s="438">
        <f>SUM(F447)</f>
        <v>29231</v>
      </c>
      <c r="G452" s="438">
        <f>SUM(G447)</f>
        <v>29231</v>
      </c>
      <c r="H452" s="438">
        <f>SUM(H447)</f>
        <v>0</v>
      </c>
      <c r="I452" s="138"/>
      <c r="J452" s="446"/>
      <c r="K452" s="446"/>
      <c r="L452" s="447"/>
      <c r="M452" s="447"/>
      <c r="N452" s="447"/>
      <c r="O452" s="447"/>
      <c r="P452" s="447"/>
      <c r="Q452" s="447"/>
    </row>
    <row r="453" spans="3:11" s="178" customFormat="1" ht="12">
      <c r="C453" s="443"/>
      <c r="D453" s="173"/>
      <c r="E453" s="173"/>
      <c r="F453" s="236"/>
      <c r="G453" s="236"/>
      <c r="H453" s="484"/>
      <c r="J453" s="223"/>
      <c r="K453" s="223"/>
    </row>
    <row r="454" spans="1:9" s="15" customFormat="1" ht="14.25" customHeight="1">
      <c r="A454" s="628" t="s">
        <v>223</v>
      </c>
      <c r="B454" s="628"/>
      <c r="C454" s="628"/>
      <c r="D454" s="628"/>
      <c r="E454" s="628"/>
      <c r="F454" s="628"/>
      <c r="G454" s="628"/>
      <c r="H454" s="119"/>
      <c r="I454" s="14"/>
    </row>
    <row r="455" spans="1:9" s="15" customFormat="1" ht="14.25" customHeight="1" thickBot="1">
      <c r="A455" s="631"/>
      <c r="B455" s="631"/>
      <c r="C455" s="631"/>
      <c r="D455" s="631"/>
      <c r="E455" s="631"/>
      <c r="F455" s="631"/>
      <c r="G455" s="631"/>
      <c r="H455" s="119"/>
      <c r="I455" s="14"/>
    </row>
    <row r="456" spans="1:9" s="120" customFormat="1" ht="14.25" customHeight="1">
      <c r="A456" s="612" t="s">
        <v>264</v>
      </c>
      <c r="B456" s="615" t="s">
        <v>282</v>
      </c>
      <c r="C456" s="605" t="s">
        <v>77</v>
      </c>
      <c r="D456" s="605" t="s">
        <v>283</v>
      </c>
      <c r="E456" s="618" t="s">
        <v>190</v>
      </c>
      <c r="F456" s="605" t="s">
        <v>104</v>
      </c>
      <c r="G456" s="622" t="s">
        <v>284</v>
      </c>
      <c r="H456" s="623"/>
      <c r="I456" s="607" t="s">
        <v>33</v>
      </c>
    </row>
    <row r="457" spans="1:9" s="121" customFormat="1" ht="14.25" customHeight="1">
      <c r="A457" s="613"/>
      <c r="B457" s="617"/>
      <c r="C457" s="606"/>
      <c r="D457" s="606"/>
      <c r="E457" s="619"/>
      <c r="F457" s="606"/>
      <c r="G457" s="168" t="s">
        <v>194</v>
      </c>
      <c r="H457" s="169" t="s">
        <v>195</v>
      </c>
      <c r="I457" s="608"/>
    </row>
    <row r="458" spans="1:9" s="15" customFormat="1" ht="14.25" customHeight="1" thickBot="1">
      <c r="A458" s="485">
        <v>1</v>
      </c>
      <c r="B458" s="162">
        <v>2</v>
      </c>
      <c r="C458" s="50">
        <v>3</v>
      </c>
      <c r="D458" s="16">
        <v>4</v>
      </c>
      <c r="E458" s="29">
        <v>5</v>
      </c>
      <c r="F458" s="30">
        <v>6</v>
      </c>
      <c r="G458" s="486">
        <v>7</v>
      </c>
      <c r="H458" s="487">
        <v>8</v>
      </c>
      <c r="I458" s="31">
        <v>9</v>
      </c>
    </row>
    <row r="459" spans="1:9" s="15" customFormat="1" ht="14.25" customHeight="1">
      <c r="A459" s="488"/>
      <c r="B459" s="489"/>
      <c r="C459" s="60"/>
      <c r="D459" s="129"/>
      <c r="E459" s="116"/>
      <c r="F459" s="59"/>
      <c r="G459" s="116"/>
      <c r="H459" s="490"/>
      <c r="I459" s="491"/>
    </row>
    <row r="460" spans="1:9" s="15" customFormat="1" ht="14.25" customHeight="1">
      <c r="A460" s="45">
        <v>750</v>
      </c>
      <c r="B460" s="492"/>
      <c r="C460" s="61"/>
      <c r="D460" s="493" t="s">
        <v>269</v>
      </c>
      <c r="E460" s="357">
        <f>SUM(E462)</f>
        <v>150000</v>
      </c>
      <c r="F460" s="34">
        <f>SUM(F462)</f>
        <v>110771.2</v>
      </c>
      <c r="G460" s="494">
        <f>G462</f>
        <v>110771.2</v>
      </c>
      <c r="H460" s="494">
        <f>H462</f>
        <v>0</v>
      </c>
      <c r="I460" s="495">
        <f>F460/E460</f>
        <v>0.7385</v>
      </c>
    </row>
    <row r="461" spans="1:9" s="15" customFormat="1" ht="14.25" customHeight="1">
      <c r="A461" s="45"/>
      <c r="B461" s="496"/>
      <c r="C461" s="62"/>
      <c r="D461" s="4"/>
      <c r="E461" s="69"/>
      <c r="F461" s="41"/>
      <c r="G461" s="193"/>
      <c r="H461" s="305"/>
      <c r="I461" s="497"/>
    </row>
    <row r="462" spans="1:9" s="15" customFormat="1" ht="14.25" customHeight="1">
      <c r="A462" s="45"/>
      <c r="B462" s="498">
        <v>75011</v>
      </c>
      <c r="C462" s="63"/>
      <c r="D462" s="493" t="s">
        <v>99</v>
      </c>
      <c r="E462" s="357">
        <f>SUM(E464)</f>
        <v>150000</v>
      </c>
      <c r="F462" s="34">
        <f>SUM(F464)</f>
        <v>110771.2</v>
      </c>
      <c r="G462" s="494">
        <f>SUM(G464)</f>
        <v>110771.2</v>
      </c>
      <c r="H462" s="494">
        <f>H464</f>
        <v>0</v>
      </c>
      <c r="I462" s="495">
        <f>F462/E462</f>
        <v>0.7385</v>
      </c>
    </row>
    <row r="463" spans="1:9" s="15" customFormat="1" ht="14.25" customHeight="1">
      <c r="A463" s="45"/>
      <c r="B463" s="498"/>
      <c r="C463" s="62"/>
      <c r="D463" s="131"/>
      <c r="E463" s="499"/>
      <c r="F463" s="41"/>
      <c r="G463" s="193"/>
      <c r="H463" s="305"/>
      <c r="I463" s="497"/>
    </row>
    <row r="464" spans="1:9" s="15" customFormat="1" ht="13.5" thickBot="1">
      <c r="A464" s="500"/>
      <c r="B464" s="501"/>
      <c r="C464" s="502" t="s">
        <v>129</v>
      </c>
      <c r="D464" s="503" t="s">
        <v>158</v>
      </c>
      <c r="E464" s="504">
        <v>150000</v>
      </c>
      <c r="F464" s="67">
        <f>G464+H464</f>
        <v>110771.2</v>
      </c>
      <c r="G464" s="505">
        <v>110771.2</v>
      </c>
      <c r="H464" s="506"/>
      <c r="I464" s="507">
        <f>F464/E464</f>
        <v>0.7385</v>
      </c>
    </row>
    <row r="465" spans="1:9" s="15" customFormat="1" ht="14.25" customHeight="1" thickTop="1">
      <c r="A465" s="508"/>
      <c r="B465" s="489"/>
      <c r="C465" s="132"/>
      <c r="D465" s="44"/>
      <c r="E465" s="509"/>
      <c r="F465" s="509"/>
      <c r="G465" s="193"/>
      <c r="H465" s="305"/>
      <c r="I465" s="497"/>
    </row>
    <row r="466" spans="1:9" s="15" customFormat="1" ht="14.25" customHeight="1">
      <c r="A466" s="45">
        <v>852</v>
      </c>
      <c r="B466" s="492"/>
      <c r="C466" s="61"/>
      <c r="D466" s="510" t="s">
        <v>116</v>
      </c>
      <c r="E466" s="357">
        <f>SUM(E468+E472)</f>
        <v>7000</v>
      </c>
      <c r="F466" s="267">
        <f>SUM(F468+F472)</f>
        <v>112991.25</v>
      </c>
      <c r="G466" s="494">
        <f>G468+G472</f>
        <v>116347.6</v>
      </c>
      <c r="H466" s="494">
        <f>H468+H472</f>
        <v>0</v>
      </c>
      <c r="I466" s="495">
        <f>F466/E466</f>
        <v>16.1416</v>
      </c>
    </row>
    <row r="467" spans="1:9" s="2" customFormat="1" ht="15.75" customHeight="1">
      <c r="A467" s="45"/>
      <c r="B467" s="496"/>
      <c r="C467" s="133"/>
      <c r="D467" s="134" t="s">
        <v>181</v>
      </c>
      <c r="E467" s="69"/>
      <c r="F467" s="41"/>
      <c r="G467" s="193"/>
      <c r="H467" s="193"/>
      <c r="I467" s="497"/>
    </row>
    <row r="468" spans="1:9" s="2" customFormat="1" ht="14.25" customHeight="1">
      <c r="A468" s="45"/>
      <c r="B468" s="498">
        <v>85212</v>
      </c>
      <c r="C468" s="61"/>
      <c r="D468" s="135" t="s">
        <v>182</v>
      </c>
      <c r="E468" s="357">
        <f>SUM(E469:E470)</f>
        <v>0</v>
      </c>
      <c r="F468" s="267">
        <f>SUM(F469:F470)</f>
        <v>111782.84</v>
      </c>
      <c r="G468" s="267">
        <f>SUM(G469:G470)</f>
        <v>111782.84</v>
      </c>
      <c r="H468" s="267">
        <f>SUM(H469:H470)</f>
        <v>0</v>
      </c>
      <c r="I468" s="495"/>
    </row>
    <row r="469" spans="1:9" s="15" customFormat="1" ht="27" customHeight="1">
      <c r="A469" s="45"/>
      <c r="B469" s="18"/>
      <c r="C469" s="511" t="s">
        <v>126</v>
      </c>
      <c r="D469" s="512" t="s">
        <v>163</v>
      </c>
      <c r="E469" s="513">
        <v>0</v>
      </c>
      <c r="F469" s="64">
        <f>G469+H469</f>
        <v>567.76</v>
      </c>
      <c r="G469" s="514">
        <v>567.76</v>
      </c>
      <c r="H469" s="314"/>
      <c r="I469" s="515"/>
    </row>
    <row r="470" spans="1:9" s="15" customFormat="1" ht="27.75" customHeight="1">
      <c r="A470" s="45"/>
      <c r="B470" s="19"/>
      <c r="C470" s="516" t="s">
        <v>127</v>
      </c>
      <c r="D470" s="517" t="s">
        <v>156</v>
      </c>
      <c r="E470" s="357">
        <v>0</v>
      </c>
      <c r="F470" s="34">
        <f>G470+H470</f>
        <v>111215.08</v>
      </c>
      <c r="G470" s="494">
        <f>89890.71+21324.37</f>
        <v>111215.08</v>
      </c>
      <c r="H470" s="261"/>
      <c r="I470" s="495"/>
    </row>
    <row r="471" spans="1:9" s="15" customFormat="1" ht="14.25" customHeight="1">
      <c r="A471" s="45"/>
      <c r="B471" s="496"/>
      <c r="C471" s="133"/>
      <c r="D471" s="518"/>
      <c r="E471" s="69"/>
      <c r="F471" s="41"/>
      <c r="G471" s="193"/>
      <c r="H471" s="305"/>
      <c r="I471" s="497"/>
    </row>
    <row r="472" spans="1:9" s="15" customFormat="1" ht="14.25" customHeight="1">
      <c r="A472" s="45"/>
      <c r="B472" s="498">
        <v>85228</v>
      </c>
      <c r="C472" s="61"/>
      <c r="D472" s="493" t="s">
        <v>120</v>
      </c>
      <c r="E472" s="357">
        <f>SUM(E474)</f>
        <v>7000</v>
      </c>
      <c r="F472" s="34">
        <f>SUM(F474)</f>
        <v>1208.41</v>
      </c>
      <c r="G472" s="494">
        <f>G474</f>
        <v>4564.76</v>
      </c>
      <c r="H472" s="494">
        <f>H474</f>
        <v>0</v>
      </c>
      <c r="I472" s="495">
        <f>F472/E472</f>
        <v>0.1726</v>
      </c>
    </row>
    <row r="473" spans="1:9" s="15" customFormat="1" ht="14.25" customHeight="1">
      <c r="A473" s="45"/>
      <c r="B473" s="498"/>
      <c r="C473" s="133"/>
      <c r="D473" s="43"/>
      <c r="E473" s="499"/>
      <c r="F473" s="41"/>
      <c r="G473" s="197"/>
      <c r="H473" s="253"/>
      <c r="I473" s="519"/>
    </row>
    <row r="474" spans="1:9" s="15" customFormat="1" ht="13.5" thickBot="1">
      <c r="A474" s="45"/>
      <c r="B474" s="498"/>
      <c r="C474" s="520" t="s">
        <v>148</v>
      </c>
      <c r="D474" s="521" t="s">
        <v>161</v>
      </c>
      <c r="E474" s="499">
        <v>7000</v>
      </c>
      <c r="F474" s="41">
        <v>1208.41</v>
      </c>
      <c r="G474" s="522">
        <v>4564.76</v>
      </c>
      <c r="H474" s="523"/>
      <c r="I474" s="524">
        <f>F474/E474</f>
        <v>0.1726</v>
      </c>
    </row>
    <row r="475" spans="1:9" s="15" customFormat="1" ht="14.25" customHeight="1">
      <c r="A475" s="525"/>
      <c r="B475" s="526"/>
      <c r="C475" s="124"/>
      <c r="D475" s="136"/>
      <c r="E475" s="527"/>
      <c r="F475" s="117"/>
      <c r="G475" s="193"/>
      <c r="H475" s="305"/>
      <c r="I475" s="497"/>
    </row>
    <row r="476" spans="1:9" s="15" customFormat="1" ht="14.25" customHeight="1" thickBot="1">
      <c r="A476" s="528"/>
      <c r="B476" s="529"/>
      <c r="C476" s="125"/>
      <c r="D476" s="137" t="s">
        <v>281</v>
      </c>
      <c r="E476" s="530">
        <f>SUM(E460+E466)</f>
        <v>157000</v>
      </c>
      <c r="F476" s="225">
        <f>SUM(F460+F466)</f>
        <v>223762.45</v>
      </c>
      <c r="G476" s="225">
        <f>SUM(G460+G466)</f>
        <v>227118.8</v>
      </c>
      <c r="H476" s="225">
        <f>SUM(H460+H466)</f>
        <v>0</v>
      </c>
      <c r="I476" s="531">
        <f>F476/E476</f>
        <v>1.4252</v>
      </c>
    </row>
  </sheetData>
  <sheetProtection/>
  <mergeCells count="77">
    <mergeCell ref="I456:I457"/>
    <mergeCell ref="A1:I1"/>
    <mergeCell ref="A2:I2"/>
    <mergeCell ref="A3:I3"/>
    <mergeCell ref="A5:I5"/>
    <mergeCell ref="A7:I7"/>
    <mergeCell ref="A8:I8"/>
    <mergeCell ref="A9:I9"/>
    <mergeCell ref="I443:I444"/>
    <mergeCell ref="A454:G454"/>
    <mergeCell ref="A455:G455"/>
    <mergeCell ref="A456:A457"/>
    <mergeCell ref="B456:B457"/>
    <mergeCell ref="C456:C457"/>
    <mergeCell ref="D456:D457"/>
    <mergeCell ref="E456:E457"/>
    <mergeCell ref="F456:F457"/>
    <mergeCell ref="G456:H456"/>
    <mergeCell ref="I428:I429"/>
    <mergeCell ref="A440:I440"/>
    <mergeCell ref="A441:H441"/>
    <mergeCell ref="A443:A444"/>
    <mergeCell ref="B443:B444"/>
    <mergeCell ref="C443:C444"/>
    <mergeCell ref="D443:D444"/>
    <mergeCell ref="E443:E444"/>
    <mergeCell ref="F443:F444"/>
    <mergeCell ref="G443:H443"/>
    <mergeCell ref="A426:H426"/>
    <mergeCell ref="A428:A429"/>
    <mergeCell ref="B428:B429"/>
    <mergeCell ref="C428:C429"/>
    <mergeCell ref="D428:D429"/>
    <mergeCell ref="E428:E429"/>
    <mergeCell ref="F428:F429"/>
    <mergeCell ref="G428:H428"/>
    <mergeCell ref="A402:I402"/>
    <mergeCell ref="A403:I403"/>
    <mergeCell ref="A405:A406"/>
    <mergeCell ref="B405:B406"/>
    <mergeCell ref="C405:C406"/>
    <mergeCell ref="D405:D406"/>
    <mergeCell ref="E405:E406"/>
    <mergeCell ref="F405:F406"/>
    <mergeCell ref="G405:H405"/>
    <mergeCell ref="I405:I406"/>
    <mergeCell ref="A337:I337"/>
    <mergeCell ref="A339:A340"/>
    <mergeCell ref="B339:B340"/>
    <mergeCell ref="C339:C340"/>
    <mergeCell ref="D339:D340"/>
    <mergeCell ref="E339:E340"/>
    <mergeCell ref="F339:F340"/>
    <mergeCell ref="G339:H339"/>
    <mergeCell ref="I339:I340"/>
    <mergeCell ref="I57:I58"/>
    <mergeCell ref="D245:D246"/>
    <mergeCell ref="D257:D258"/>
    <mergeCell ref="E57:E58"/>
    <mergeCell ref="F57:F58"/>
    <mergeCell ref="A336:G336"/>
    <mergeCell ref="C11:D12"/>
    <mergeCell ref="E11:E12"/>
    <mergeCell ref="F11:F12"/>
    <mergeCell ref="G11:H11"/>
    <mergeCell ref="C13:D13"/>
    <mergeCell ref="G57:H57"/>
    <mergeCell ref="C15:D15"/>
    <mergeCell ref="A57:A58"/>
    <mergeCell ref="B57:B58"/>
    <mergeCell ref="C57:C58"/>
    <mergeCell ref="D57:D58"/>
    <mergeCell ref="I11:I12"/>
    <mergeCell ref="C14:D14"/>
    <mergeCell ref="C54:D54"/>
    <mergeCell ref="A55:G55"/>
    <mergeCell ref="B11:B12"/>
  </mergeCells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landscape" paperSize="9" scale="67" r:id="rId1"/>
  <rowBreaks count="11" manualBreakCount="11">
    <brk id="88" max="8" man="1"/>
    <brk id="120" max="8" man="1"/>
    <brk id="154" max="8" man="1"/>
    <brk id="184" max="8" man="1"/>
    <brk id="218" max="8" man="1"/>
    <brk id="250" max="8" man="1"/>
    <brk id="281" max="8" man="1"/>
    <brk id="309" max="8" man="1"/>
    <brk id="335" max="8" man="1"/>
    <brk id="383" max="8" man="1"/>
    <brk id="4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F272"/>
  <sheetViews>
    <sheetView showGridLines="0" view="pageBreakPreview" zoomScaleSheetLayoutView="100" zoomScalePageLayoutView="0" workbookViewId="0" topLeftCell="A1">
      <selection activeCell="E18" sqref="E18"/>
    </sheetView>
  </sheetViews>
  <sheetFormatPr defaultColWidth="9.00390625" defaultRowHeight="12"/>
  <cols>
    <col min="1" max="1" width="73.875" style="1" customWidth="1"/>
    <col min="2" max="3" width="18.00390625" style="17" customWidth="1"/>
    <col min="4" max="4" width="12.25390625" style="1" customWidth="1"/>
    <col min="5" max="16384" width="9.125" style="1" customWidth="1"/>
  </cols>
  <sheetData>
    <row r="1" spans="1:3" ht="14.25" customHeight="1">
      <c r="A1" s="25" t="s">
        <v>41</v>
      </c>
      <c r="B1" s="140"/>
      <c r="C1" s="141"/>
    </row>
    <row r="2" spans="1:4" ht="15" thickBot="1">
      <c r="A2" s="142"/>
      <c r="B2" s="143"/>
      <c r="C2" s="143"/>
      <c r="D2" s="144" t="s">
        <v>100</v>
      </c>
    </row>
    <row r="3" spans="1:4" ht="15.75" customHeight="1">
      <c r="A3" s="145" t="s">
        <v>189</v>
      </c>
      <c r="B3" s="146" t="s">
        <v>190</v>
      </c>
      <c r="C3" s="146" t="s">
        <v>104</v>
      </c>
      <c r="D3" s="637" t="s">
        <v>42</v>
      </c>
    </row>
    <row r="4" spans="1:4" ht="12.75" customHeight="1">
      <c r="A4" s="573"/>
      <c r="B4" s="574"/>
      <c r="C4" s="574"/>
      <c r="D4" s="638"/>
    </row>
    <row r="5" spans="1:4" ht="12.75" thickBot="1">
      <c r="A5" s="575">
        <v>1</v>
      </c>
      <c r="B5" s="161">
        <v>2</v>
      </c>
      <c r="C5" s="161">
        <v>3</v>
      </c>
      <c r="D5" s="576">
        <v>4</v>
      </c>
    </row>
    <row r="6" spans="1:4" ht="9.75" customHeight="1">
      <c r="A6" s="147"/>
      <c r="B6" s="148"/>
      <c r="C6" s="577"/>
      <c r="D6" s="578"/>
    </row>
    <row r="7" spans="1:4" ht="15">
      <c r="A7" s="149" t="s">
        <v>43</v>
      </c>
      <c r="B7" s="150">
        <f>SUM(B9,B31,B37,B40,B72,)</f>
        <v>114544106.07</v>
      </c>
      <c r="C7" s="150">
        <f>SUM(C9,C31,C37,C40,C72,)</f>
        <v>115708325.13</v>
      </c>
      <c r="D7" s="579">
        <f>SUM(C7/B7)</f>
        <v>1.0102</v>
      </c>
    </row>
    <row r="8" spans="1:4" ht="12.75" customHeight="1">
      <c r="A8" s="580"/>
      <c r="B8" s="581"/>
      <c r="C8" s="582"/>
      <c r="D8" s="583"/>
    </row>
    <row r="9" spans="1:4" ht="12.75">
      <c r="A9" s="156" t="s">
        <v>191</v>
      </c>
      <c r="B9" s="157">
        <f>SUM(B10:B18,B22:B30)</f>
        <v>60071689</v>
      </c>
      <c r="C9" s="157">
        <f>SUM(C10:C18,C22:C30)</f>
        <v>66638600.02</v>
      </c>
      <c r="D9" s="592">
        <f aca="true" t="shared" si="0" ref="D9:D18">SUM(C9/B9)</f>
        <v>1.1093</v>
      </c>
    </row>
    <row r="10" spans="1:4" ht="12.75">
      <c r="A10" s="151" t="s">
        <v>192</v>
      </c>
      <c r="B10" s="152">
        <f>32800000+2100000</f>
        <v>34900000</v>
      </c>
      <c r="C10" s="584">
        <f>34782873.86+2820315.77</f>
        <v>37603189.63</v>
      </c>
      <c r="D10" s="593">
        <f t="shared" si="0"/>
        <v>1.0775</v>
      </c>
    </row>
    <row r="11" spans="1:4" ht="12.75">
      <c r="A11" s="151" t="s">
        <v>244</v>
      </c>
      <c r="B11" s="152">
        <f>170000+160000</f>
        <v>330000</v>
      </c>
      <c r="C11" s="584">
        <f>173921.5+120266.89</f>
        <v>294188.39</v>
      </c>
      <c r="D11" s="593">
        <f t="shared" si="0"/>
        <v>0.8915</v>
      </c>
    </row>
    <row r="12" spans="1:4" ht="12.75">
      <c r="A12" s="151" t="s">
        <v>225</v>
      </c>
      <c r="B12" s="152">
        <f>67000</f>
        <v>67000</v>
      </c>
      <c r="C12" s="584">
        <v>56475.95</v>
      </c>
      <c r="D12" s="593">
        <f t="shared" si="0"/>
        <v>0.8429</v>
      </c>
    </row>
    <row r="13" spans="1:4" ht="12.75">
      <c r="A13" s="151" t="s">
        <v>245</v>
      </c>
      <c r="B13" s="152">
        <f>6200</f>
        <v>6200</v>
      </c>
      <c r="C13" s="584">
        <v>4070.19</v>
      </c>
      <c r="D13" s="593">
        <f t="shared" si="0"/>
        <v>0.6565</v>
      </c>
    </row>
    <row r="14" spans="1:4" ht="12.75">
      <c r="A14" s="151" t="s">
        <v>246</v>
      </c>
      <c r="B14" s="152">
        <v>193406</v>
      </c>
      <c r="C14" s="584">
        <v>203615.5</v>
      </c>
      <c r="D14" s="593">
        <f t="shared" si="0"/>
        <v>1.0528</v>
      </c>
    </row>
    <row r="15" spans="1:4" ht="12.75">
      <c r="A15" s="151" t="s">
        <v>247</v>
      </c>
      <c r="B15" s="152">
        <f>150000</f>
        <v>150000</v>
      </c>
      <c r="C15" s="584">
        <v>139850.94</v>
      </c>
      <c r="D15" s="593">
        <f t="shared" si="0"/>
        <v>0.9323</v>
      </c>
    </row>
    <row r="16" spans="1:4" ht="12.75">
      <c r="A16" s="151" t="s">
        <v>248</v>
      </c>
      <c r="B16" s="152">
        <v>150000</v>
      </c>
      <c r="C16" s="584">
        <v>167785.41</v>
      </c>
      <c r="D16" s="593">
        <f t="shared" si="0"/>
        <v>1.1186</v>
      </c>
    </row>
    <row r="17" spans="1:4" ht="12.75">
      <c r="A17" s="151" t="s">
        <v>250</v>
      </c>
      <c r="B17" s="152">
        <f>16937+1000000</f>
        <v>1016937</v>
      </c>
      <c r="C17" s="584">
        <f>48300+2089073.15</f>
        <v>2137373.15</v>
      </c>
      <c r="D17" s="593">
        <f t="shared" si="0"/>
        <v>2.1018</v>
      </c>
    </row>
    <row r="18" spans="1:4" ht="12.75">
      <c r="A18" s="151" t="s">
        <v>44</v>
      </c>
      <c r="B18" s="153">
        <f>SUM(B20:B21)</f>
        <v>21147823</v>
      </c>
      <c r="C18" s="585">
        <f>SUM(C20:C21)</f>
        <v>23868518.35</v>
      </c>
      <c r="D18" s="594">
        <f t="shared" si="0"/>
        <v>1.1287</v>
      </c>
    </row>
    <row r="19" spans="1:4" ht="12.75">
      <c r="A19" s="151" t="s">
        <v>251</v>
      </c>
      <c r="B19" s="152"/>
      <c r="C19" s="584"/>
      <c r="D19" s="593"/>
    </row>
    <row r="20" spans="1:4" ht="12.75">
      <c r="A20" s="151" t="s">
        <v>122</v>
      </c>
      <c r="B20" s="152">
        <v>20000000</v>
      </c>
      <c r="C20" s="584">
        <v>22727761</v>
      </c>
      <c r="D20" s="593">
        <f>SUM(C20/B20)</f>
        <v>1.1364</v>
      </c>
    </row>
    <row r="21" spans="1:4" ht="12.75">
      <c r="A21" s="151" t="s">
        <v>252</v>
      </c>
      <c r="B21" s="152">
        <v>1147823</v>
      </c>
      <c r="C21" s="584">
        <v>1140757.35</v>
      </c>
      <c r="D21" s="593">
        <f>SUM(C21/B21)</f>
        <v>0.9938</v>
      </c>
    </row>
    <row r="22" spans="1:4" ht="12.75">
      <c r="A22" s="151" t="s">
        <v>253</v>
      </c>
      <c r="B22" s="152">
        <f>48000+226000</f>
        <v>274000</v>
      </c>
      <c r="C22" s="584">
        <f>49849.8+228806.43</f>
        <v>278656.23</v>
      </c>
      <c r="D22" s="593">
        <f>SUM(C22/B22)</f>
        <v>1.017</v>
      </c>
    </row>
    <row r="23" spans="1:4" ht="12.75">
      <c r="A23" s="151" t="s">
        <v>254</v>
      </c>
      <c r="B23" s="152">
        <f>190000+700</f>
        <v>190700</v>
      </c>
      <c r="C23" s="584">
        <f>192580.8+749.38</f>
        <v>193330.18</v>
      </c>
      <c r="D23" s="593">
        <f>SUM(C23/B23)</f>
        <v>1.0138</v>
      </c>
    </row>
    <row r="24" spans="1:4" ht="12.75">
      <c r="A24" s="151" t="s">
        <v>0</v>
      </c>
      <c r="B24" s="154"/>
      <c r="C24" s="586"/>
      <c r="D24" s="593"/>
    </row>
    <row r="25" spans="1:4" ht="12.75">
      <c r="A25" s="151" t="s">
        <v>45</v>
      </c>
      <c r="B25" s="152">
        <f>599567</f>
        <v>599567</v>
      </c>
      <c r="C25" s="584">
        <v>624749.3</v>
      </c>
      <c r="D25" s="593">
        <f aca="true" t="shared" si="1" ref="D25:D48">SUM(C25/B25)</f>
        <v>1.042</v>
      </c>
    </row>
    <row r="26" spans="1:4" ht="12.75">
      <c r="A26" s="151" t="s">
        <v>46</v>
      </c>
      <c r="B26" s="152">
        <f>1700</f>
        <v>1700</v>
      </c>
      <c r="C26" s="584">
        <v>25399.62</v>
      </c>
      <c r="D26" s="593">
        <f t="shared" si="1"/>
        <v>14.941</v>
      </c>
    </row>
    <row r="27" spans="1:4" ht="12.75">
      <c r="A27" s="151" t="s">
        <v>47</v>
      </c>
      <c r="B27" s="152">
        <f>350000</f>
        <v>350000</v>
      </c>
      <c r="C27" s="584">
        <v>362871.81</v>
      </c>
      <c r="D27" s="593">
        <f t="shared" si="1"/>
        <v>1.0368</v>
      </c>
    </row>
    <row r="28" spans="1:4" ht="12.75">
      <c r="A28" s="151" t="s">
        <v>48</v>
      </c>
      <c r="B28" s="152">
        <v>590</v>
      </c>
      <c r="C28" s="584">
        <v>960</v>
      </c>
      <c r="D28" s="593">
        <f t="shared" si="1"/>
        <v>1.6271</v>
      </c>
    </row>
    <row r="29" spans="1:4" ht="12.75">
      <c r="A29" s="587" t="s">
        <v>19</v>
      </c>
      <c r="B29" s="152">
        <f>560000+42000+1966</f>
        <v>603966</v>
      </c>
      <c r="C29" s="584">
        <f>3894.67+514994.43+62408.75</f>
        <v>581297.85</v>
      </c>
      <c r="D29" s="593">
        <f t="shared" si="1"/>
        <v>0.9625</v>
      </c>
    </row>
    <row r="30" spans="1:4" ht="12.75">
      <c r="A30" s="155" t="s">
        <v>20</v>
      </c>
      <c r="B30" s="153">
        <v>89800</v>
      </c>
      <c r="C30" s="153">
        <v>96267.52</v>
      </c>
      <c r="D30" s="594">
        <f t="shared" si="1"/>
        <v>1.072</v>
      </c>
    </row>
    <row r="31" spans="1:4" s="13" customFormat="1" ht="12.75">
      <c r="A31" s="156" t="s">
        <v>255</v>
      </c>
      <c r="B31" s="157">
        <f>SUM(B32,B33,B35,B36,)</f>
        <v>8229245</v>
      </c>
      <c r="C31" s="157">
        <f>C32+C33+C35+C36</f>
        <v>4878858.9</v>
      </c>
      <c r="D31" s="592">
        <f t="shared" si="1"/>
        <v>0.5929</v>
      </c>
    </row>
    <row r="32" spans="1:4" ht="12.75">
      <c r="A32" s="151" t="s">
        <v>256</v>
      </c>
      <c r="B32" s="152">
        <v>883000</v>
      </c>
      <c r="C32" s="152">
        <v>998643.5</v>
      </c>
      <c r="D32" s="593">
        <f t="shared" si="1"/>
        <v>1.131</v>
      </c>
    </row>
    <row r="33" spans="1:4" ht="12.75">
      <c r="A33" s="151" t="s">
        <v>259</v>
      </c>
      <c r="B33" s="152">
        <v>932874</v>
      </c>
      <c r="C33" s="152">
        <v>1063982.79</v>
      </c>
      <c r="D33" s="593">
        <f t="shared" si="1"/>
        <v>1.1405</v>
      </c>
    </row>
    <row r="34" spans="1:4" ht="12.75">
      <c r="A34" s="151" t="s">
        <v>49</v>
      </c>
      <c r="B34" s="152">
        <v>531566</v>
      </c>
      <c r="C34" s="152">
        <v>544377.84</v>
      </c>
      <c r="D34" s="593">
        <f t="shared" si="1"/>
        <v>1.0241</v>
      </c>
    </row>
    <row r="35" spans="1:4" ht="12.75">
      <c r="A35" s="151" t="s">
        <v>260</v>
      </c>
      <c r="B35" s="152">
        <v>6138000</v>
      </c>
      <c r="C35" s="152">
        <v>2564707.45</v>
      </c>
      <c r="D35" s="593">
        <f t="shared" si="1"/>
        <v>0.4178</v>
      </c>
    </row>
    <row r="36" spans="1:4" ht="12.75">
      <c r="A36" s="155" t="s">
        <v>261</v>
      </c>
      <c r="B36" s="153">
        <v>275371</v>
      </c>
      <c r="C36" s="153">
        <v>251525.16</v>
      </c>
      <c r="D36" s="594">
        <f t="shared" si="1"/>
        <v>0.9134</v>
      </c>
    </row>
    <row r="37" spans="1:4" s="13" customFormat="1" ht="12.75">
      <c r="A37" s="156" t="s">
        <v>262</v>
      </c>
      <c r="B37" s="157">
        <f>SUM(B38:B39)</f>
        <v>16820750</v>
      </c>
      <c r="C37" s="157">
        <f>SUM(C38:C39)</f>
        <v>16831260</v>
      </c>
      <c r="D37" s="592">
        <f t="shared" si="1"/>
        <v>1.0006</v>
      </c>
    </row>
    <row r="38" spans="1:4" ht="12.75">
      <c r="A38" s="158" t="s">
        <v>271</v>
      </c>
      <c r="B38" s="159">
        <v>15861413</v>
      </c>
      <c r="C38" s="159">
        <v>15871923</v>
      </c>
      <c r="D38" s="593">
        <f t="shared" si="1"/>
        <v>1.0007</v>
      </c>
    </row>
    <row r="39" spans="1:4" ht="12.75">
      <c r="A39" s="155" t="s">
        <v>272</v>
      </c>
      <c r="B39" s="153">
        <v>959337</v>
      </c>
      <c r="C39" s="153">
        <v>959337</v>
      </c>
      <c r="D39" s="594">
        <f t="shared" si="1"/>
        <v>1</v>
      </c>
    </row>
    <row r="40" spans="1:4" s="13" customFormat="1" ht="12.75">
      <c r="A40" s="156" t="s">
        <v>273</v>
      </c>
      <c r="B40" s="157">
        <f>B41+B60+B63+B65+B70</f>
        <v>28477762.07</v>
      </c>
      <c r="C40" s="157">
        <f>C41+C60+C63+C65+C70</f>
        <v>25504292.74</v>
      </c>
      <c r="D40" s="592">
        <f t="shared" si="1"/>
        <v>0.8956</v>
      </c>
    </row>
    <row r="41" spans="1:4" ht="12.75">
      <c r="A41" s="151" t="s">
        <v>274</v>
      </c>
      <c r="B41" s="584">
        <f>B42+B52</f>
        <v>16915491</v>
      </c>
      <c r="C41" s="584">
        <f>C42+C52</f>
        <v>15043574.89</v>
      </c>
      <c r="D41" s="593">
        <f t="shared" si="1"/>
        <v>0.8893</v>
      </c>
    </row>
    <row r="42" spans="1:4" ht="12.75">
      <c r="A42" s="151" t="s">
        <v>51</v>
      </c>
      <c r="B42" s="584">
        <f>SUM(B43:B44)+B47+B48</f>
        <v>15493516</v>
      </c>
      <c r="C42" s="584">
        <f>SUM(C43:C44)+C47+C48</f>
        <v>13991226.9</v>
      </c>
      <c r="D42" s="593">
        <f t="shared" si="1"/>
        <v>0.903</v>
      </c>
    </row>
    <row r="43" spans="1:4" ht="12.75">
      <c r="A43" s="151" t="s">
        <v>52</v>
      </c>
      <c r="B43" s="584">
        <v>3412362</v>
      </c>
      <c r="C43" s="584">
        <v>3362700.13</v>
      </c>
      <c r="D43" s="593">
        <f t="shared" si="1"/>
        <v>0.9854</v>
      </c>
    </row>
    <row r="44" spans="1:4" ht="12.75">
      <c r="A44" s="160" t="s">
        <v>226</v>
      </c>
      <c r="B44" s="584">
        <f>SUM(B45:B46)</f>
        <v>505548</v>
      </c>
      <c r="C44" s="584">
        <f>SUM(C45:C46)</f>
        <v>358330.92</v>
      </c>
      <c r="D44" s="593">
        <f t="shared" si="1"/>
        <v>0.7088</v>
      </c>
    </row>
    <row r="45" spans="1:4" ht="12.75">
      <c r="A45" s="588" t="s">
        <v>227</v>
      </c>
      <c r="B45" s="584">
        <v>429720</v>
      </c>
      <c r="C45" s="584">
        <v>304581.3</v>
      </c>
      <c r="D45" s="593">
        <f t="shared" si="1"/>
        <v>0.7088</v>
      </c>
    </row>
    <row r="46" spans="1:4" ht="12.75">
      <c r="A46" s="588" t="s">
        <v>228</v>
      </c>
      <c r="B46" s="584">
        <v>75828</v>
      </c>
      <c r="C46" s="584">
        <v>53749.62</v>
      </c>
      <c r="D46" s="593">
        <f t="shared" si="1"/>
        <v>0.7088</v>
      </c>
    </row>
    <row r="47" spans="1:4" ht="12.75">
      <c r="A47" s="160" t="s">
        <v>288</v>
      </c>
      <c r="B47" s="584">
        <v>250000</v>
      </c>
      <c r="C47" s="584">
        <v>0</v>
      </c>
      <c r="D47" s="593">
        <f t="shared" si="1"/>
        <v>0</v>
      </c>
    </row>
    <row r="48" spans="1:4" ht="12.75">
      <c r="A48" s="151" t="s">
        <v>287</v>
      </c>
      <c r="B48" s="584">
        <f>SUM(B49:B51)</f>
        <v>11325606</v>
      </c>
      <c r="C48" s="584">
        <f>SUM(C49:C51)</f>
        <v>10270195.85</v>
      </c>
      <c r="D48" s="593">
        <f t="shared" si="1"/>
        <v>0.9068</v>
      </c>
    </row>
    <row r="49" spans="1:4" ht="12.75">
      <c r="A49" s="588" t="s">
        <v>229</v>
      </c>
      <c r="B49" s="584">
        <v>10963525</v>
      </c>
      <c r="C49" s="584">
        <v>9908115.25</v>
      </c>
      <c r="D49" s="593">
        <f>SUM(C49/B49)</f>
        <v>0.9037</v>
      </c>
    </row>
    <row r="50" spans="1:4" ht="12.75">
      <c r="A50" s="588" t="s">
        <v>230</v>
      </c>
      <c r="B50" s="584">
        <v>191581</v>
      </c>
      <c r="C50" s="584">
        <v>191580.6</v>
      </c>
      <c r="D50" s="593">
        <f>SUM(C50/B50)</f>
        <v>1</v>
      </c>
    </row>
    <row r="51" spans="1:4" ht="12.75">
      <c r="A51" s="589" t="s">
        <v>231</v>
      </c>
      <c r="B51" s="584">
        <v>170500</v>
      </c>
      <c r="C51" s="584">
        <v>170500</v>
      </c>
      <c r="D51" s="593">
        <f aca="true" t="shared" si="2" ref="D51:D60">SUM(C51/B51)</f>
        <v>1</v>
      </c>
    </row>
    <row r="52" spans="1:4" ht="12.75">
      <c r="A52" s="151" t="s">
        <v>53</v>
      </c>
      <c r="B52" s="584">
        <f>SUM(B53:B59)</f>
        <v>1421975</v>
      </c>
      <c r="C52" s="584">
        <f>SUM(C53:C59)</f>
        <v>1052347.99</v>
      </c>
      <c r="D52" s="593">
        <f t="shared" si="2"/>
        <v>0.7401</v>
      </c>
    </row>
    <row r="53" spans="1:4" ht="12.75">
      <c r="A53" s="151" t="s">
        <v>54</v>
      </c>
      <c r="B53" s="584">
        <f>192979+341139+65282+18282+89764</f>
        <v>707446</v>
      </c>
      <c r="C53" s="584">
        <v>338108.81</v>
      </c>
      <c r="D53" s="593">
        <f t="shared" si="2"/>
        <v>0.4779</v>
      </c>
    </row>
    <row r="54" spans="1:4" ht="12.75">
      <c r="A54" s="151" t="s">
        <v>232</v>
      </c>
      <c r="B54" s="584">
        <v>1672</v>
      </c>
      <c r="C54" s="584">
        <v>1672</v>
      </c>
      <c r="D54" s="593">
        <f t="shared" si="2"/>
        <v>1</v>
      </c>
    </row>
    <row r="55" spans="1:4" ht="12.75">
      <c r="A55" s="587" t="s">
        <v>233</v>
      </c>
      <c r="B55" s="584">
        <v>8875</v>
      </c>
      <c r="C55" s="584">
        <v>8874.8</v>
      </c>
      <c r="D55" s="593">
        <f t="shared" si="2"/>
        <v>1</v>
      </c>
    </row>
    <row r="56" spans="1:4" ht="12.75">
      <c r="A56" s="587" t="s">
        <v>234</v>
      </c>
      <c r="B56" s="584">
        <v>6861</v>
      </c>
      <c r="C56" s="584">
        <v>6858.21</v>
      </c>
      <c r="D56" s="593">
        <f t="shared" si="2"/>
        <v>0.9996</v>
      </c>
    </row>
    <row r="57" spans="1:4" ht="12.75">
      <c r="A57" s="587" t="s">
        <v>235</v>
      </c>
      <c r="B57" s="584">
        <v>10000</v>
      </c>
      <c r="C57" s="584">
        <v>10000</v>
      </c>
      <c r="D57" s="593">
        <f t="shared" si="2"/>
        <v>1</v>
      </c>
    </row>
    <row r="58" spans="1:4" ht="12.75">
      <c r="A58" s="587" t="s">
        <v>236</v>
      </c>
      <c r="B58" s="584">
        <v>666000</v>
      </c>
      <c r="C58" s="584">
        <v>666000</v>
      </c>
      <c r="D58" s="593">
        <f t="shared" si="2"/>
        <v>1</v>
      </c>
    </row>
    <row r="59" spans="1:4" ht="12.75">
      <c r="A59" s="587" t="s">
        <v>52</v>
      </c>
      <c r="B59" s="584">
        <v>21121</v>
      </c>
      <c r="C59" s="584">
        <f>11682.54+2437.65+6713.98</f>
        <v>20834.17</v>
      </c>
      <c r="D59" s="593">
        <f t="shared" si="2"/>
        <v>0.9864</v>
      </c>
    </row>
    <row r="60" spans="1:4" ht="12.75">
      <c r="A60" s="587" t="s">
        <v>153</v>
      </c>
      <c r="B60" s="584">
        <f>SUM(B62)</f>
        <v>10338953.07</v>
      </c>
      <c r="C60" s="584">
        <f>SUM(C62)</f>
        <v>9267007.95</v>
      </c>
      <c r="D60" s="595">
        <f t="shared" si="2"/>
        <v>0.8963</v>
      </c>
    </row>
    <row r="61" spans="1:4" ht="12.75">
      <c r="A61" s="587" t="s">
        <v>237</v>
      </c>
      <c r="B61" s="584"/>
      <c r="C61" s="584"/>
      <c r="D61" s="595"/>
    </row>
    <row r="62" spans="1:4" ht="12.75">
      <c r="A62" s="587" t="s">
        <v>275</v>
      </c>
      <c r="B62" s="584">
        <v>10338953.07</v>
      </c>
      <c r="C62" s="584">
        <v>9267007.95</v>
      </c>
      <c r="D62" s="595">
        <f aca="true" t="shared" si="3" ref="D62:D68">SUM(C62/B62)</f>
        <v>0.8963</v>
      </c>
    </row>
    <row r="63" spans="1:4" ht="12.75">
      <c r="A63" s="587" t="s">
        <v>238</v>
      </c>
      <c r="B63" s="584">
        <f>B64</f>
        <v>555000</v>
      </c>
      <c r="C63" s="584">
        <f>C64</f>
        <v>555000</v>
      </c>
      <c r="D63" s="595">
        <f t="shared" si="3"/>
        <v>1</v>
      </c>
    </row>
    <row r="64" spans="1:4" ht="12.75">
      <c r="A64" s="587" t="s">
        <v>249</v>
      </c>
      <c r="B64" s="584">
        <v>555000</v>
      </c>
      <c r="C64" s="584">
        <v>555000</v>
      </c>
      <c r="D64" s="595">
        <f t="shared" si="3"/>
        <v>1</v>
      </c>
    </row>
    <row r="65" spans="1:4" s="13" customFormat="1" ht="25.5">
      <c r="A65" s="160" t="s">
        <v>243</v>
      </c>
      <c r="B65" s="584">
        <f>B66</f>
        <v>639087</v>
      </c>
      <c r="C65" s="584">
        <f>C66</f>
        <v>609478.9</v>
      </c>
      <c r="D65" s="593">
        <f t="shared" si="3"/>
        <v>0.9537</v>
      </c>
    </row>
    <row r="66" spans="1:4" ht="12.75">
      <c r="A66" s="160" t="s">
        <v>239</v>
      </c>
      <c r="B66" s="584">
        <f>B67+B68</f>
        <v>639087</v>
      </c>
      <c r="C66" s="584">
        <f>C67+C68</f>
        <v>609478.9</v>
      </c>
      <c r="D66" s="593">
        <f t="shared" si="3"/>
        <v>0.9537</v>
      </c>
    </row>
    <row r="67" spans="1:4" ht="12.75">
      <c r="A67" s="588" t="s">
        <v>227</v>
      </c>
      <c r="B67" s="584">
        <v>603599</v>
      </c>
      <c r="C67" s="584">
        <v>575610.96</v>
      </c>
      <c r="D67" s="593">
        <f t="shared" si="3"/>
        <v>0.9536</v>
      </c>
    </row>
    <row r="68" spans="1:4" ht="12.75">
      <c r="A68" s="588" t="s">
        <v>240</v>
      </c>
      <c r="B68" s="584">
        <v>35488</v>
      </c>
      <c r="C68" s="584">
        <v>33867.94</v>
      </c>
      <c r="D68" s="593">
        <f t="shared" si="3"/>
        <v>0.9543</v>
      </c>
    </row>
    <row r="69" spans="1:4" ht="12.75">
      <c r="A69" s="160" t="s">
        <v>241</v>
      </c>
      <c r="B69" s="584"/>
      <c r="C69" s="584"/>
      <c r="D69" s="593"/>
    </row>
    <row r="70" spans="1:4" ht="12.75">
      <c r="A70" s="160" t="s">
        <v>242</v>
      </c>
      <c r="B70" s="584">
        <f>B71</f>
        <v>29231</v>
      </c>
      <c r="C70" s="584">
        <f>C71</f>
        <v>29231</v>
      </c>
      <c r="D70" s="593">
        <f>SUM(C70/B70)</f>
        <v>1</v>
      </c>
    </row>
    <row r="71" spans="1:4" ht="12.75">
      <c r="A71" s="155" t="s">
        <v>52</v>
      </c>
      <c r="B71" s="585">
        <v>29231</v>
      </c>
      <c r="C71" s="585">
        <v>29231</v>
      </c>
      <c r="D71" s="594">
        <f>SUM(C71/B71)</f>
        <v>1</v>
      </c>
    </row>
    <row r="72" spans="1:4" ht="13.5" thickBot="1">
      <c r="A72" s="590" t="s">
        <v>263</v>
      </c>
      <c r="B72" s="591">
        <v>944660</v>
      </c>
      <c r="C72" s="591">
        <v>1855313.47</v>
      </c>
      <c r="D72" s="596">
        <f>SUM(C72/B72)</f>
        <v>1.964</v>
      </c>
    </row>
    <row r="95" ht="12">
      <c r="E95" s="1">
        <v>26509.79</v>
      </c>
    </row>
    <row r="96" ht="12">
      <c r="E96" s="1">
        <v>1039.11</v>
      </c>
    </row>
    <row r="100" spans="5:6" ht="12">
      <c r="E100" s="1">
        <v>2057000</v>
      </c>
      <c r="F100" s="1">
        <v>1126000</v>
      </c>
    </row>
    <row r="101" ht="12">
      <c r="E101" s="1">
        <v>101842.59</v>
      </c>
    </row>
    <row r="106" spans="4:5" ht="12">
      <c r="D106" s="1">
        <v>532522</v>
      </c>
      <c r="E106" s="1">
        <v>88356.7</v>
      </c>
    </row>
    <row r="107" ht="12">
      <c r="E107" s="1">
        <v>5148.87</v>
      </c>
    </row>
    <row r="108" spans="5:6" ht="12">
      <c r="E108" s="1">
        <f>446987.38-208668</f>
        <v>238319.38</v>
      </c>
      <c r="F108" s="1">
        <v>208668</v>
      </c>
    </row>
    <row r="112" ht="12">
      <c r="E112" s="1">
        <v>305586.25</v>
      </c>
    </row>
    <row r="113" spans="5:6" ht="12">
      <c r="E113" s="1">
        <f>6672132.88-80746.19</f>
        <v>6591386.69</v>
      </c>
      <c r="F113" s="1">
        <f>5063+75683.19</f>
        <v>80746.19</v>
      </c>
    </row>
    <row r="114" ht="12">
      <c r="E114" s="1">
        <v>287364.83</v>
      </c>
    </row>
    <row r="115" ht="12">
      <c r="E115" s="1">
        <v>427707.1</v>
      </c>
    </row>
    <row r="121" ht="12">
      <c r="E121" s="1">
        <v>25000</v>
      </c>
    </row>
    <row r="123" spans="5:6" ht="12">
      <c r="E123" s="1">
        <f>203904.81-69179.44</f>
        <v>134725.37</v>
      </c>
      <c r="F123" s="1">
        <f>51089.44+18090</f>
        <v>69179.44</v>
      </c>
    </row>
    <row r="124" ht="12">
      <c r="E124" s="1">
        <v>21000</v>
      </c>
    </row>
    <row r="125" ht="12">
      <c r="E125" s="1">
        <v>605566.95</v>
      </c>
    </row>
    <row r="126" spans="5:6" ht="12">
      <c r="E126" s="1">
        <f>30640.76-263.52</f>
        <v>30377.24</v>
      </c>
      <c r="F126" s="1">
        <v>263.52</v>
      </c>
    </row>
    <row r="134" ht="12">
      <c r="E134" s="1">
        <v>99650.7</v>
      </c>
    </row>
    <row r="139" ht="12">
      <c r="E139" s="1">
        <v>18326.85</v>
      </c>
    </row>
    <row r="143" ht="12">
      <c r="D143" s="1">
        <v>1256964</v>
      </c>
    </row>
    <row r="144" ht="12">
      <c r="E144" s="1">
        <v>405547</v>
      </c>
    </row>
    <row r="148" spans="5:6" ht="12">
      <c r="E148" s="1">
        <f>12445924.4-59682.4</f>
        <v>12386242</v>
      </c>
      <c r="F148" s="1">
        <f>21472+38210.4</f>
        <v>59682.4</v>
      </c>
    </row>
    <row r="149" ht="12">
      <c r="E149" s="1">
        <v>202900</v>
      </c>
    </row>
    <row r="150" ht="12">
      <c r="E150" s="1">
        <v>5045658.96</v>
      </c>
    </row>
    <row r="152" ht="12">
      <c r="E152" s="1">
        <v>6356878</v>
      </c>
    </row>
    <row r="153" ht="12">
      <c r="E153" s="1">
        <v>171233.4</v>
      </c>
    </row>
    <row r="155" ht="12">
      <c r="E155" s="1">
        <v>134116</v>
      </c>
    </row>
    <row r="156" spans="4:5" ht="12">
      <c r="D156" s="1">
        <v>575550</v>
      </c>
      <c r="E156" s="1">
        <v>243178.5</v>
      </c>
    </row>
    <row r="161" ht="12">
      <c r="E161" s="1">
        <v>5075.96</v>
      </c>
    </row>
    <row r="162" ht="12">
      <c r="E162" s="1">
        <v>5377</v>
      </c>
    </row>
    <row r="163" ht="12">
      <c r="E163" s="1">
        <v>14054.21</v>
      </c>
    </row>
    <row r="164" ht="12">
      <c r="E164" s="1">
        <v>388884.14</v>
      </c>
    </row>
    <row r="165" spans="4:5" ht="12">
      <c r="D165" s="1">
        <v>133500</v>
      </c>
      <c r="E165" s="1">
        <v>125500</v>
      </c>
    </row>
    <row r="172" ht="12">
      <c r="E172" s="1">
        <v>1063659.78</v>
      </c>
    </row>
    <row r="173" spans="4:5" ht="12">
      <c r="D173" s="1">
        <v>1995000</v>
      </c>
      <c r="E173" s="1">
        <v>1375060.71</v>
      </c>
    </row>
    <row r="181" ht="12">
      <c r="E181" s="1">
        <v>547000</v>
      </c>
    </row>
    <row r="182" ht="12">
      <c r="E182" s="1">
        <f>29901.47</f>
        <v>29901.47</v>
      </c>
    </row>
    <row r="188" spans="4:5" ht="12">
      <c r="D188" s="1">
        <v>344830</v>
      </c>
      <c r="E188" s="1">
        <v>271500</v>
      </c>
    </row>
    <row r="189" ht="12">
      <c r="E189" s="1">
        <v>23402.05</v>
      </c>
    </row>
    <row r="190" ht="12">
      <c r="E190" s="1">
        <v>30000</v>
      </c>
    </row>
    <row r="195" spans="5:6" ht="12">
      <c r="E195" s="1">
        <v>108909.03</v>
      </c>
      <c r="F195" s="1">
        <v>5426359.82</v>
      </c>
    </row>
    <row r="196" ht="12">
      <c r="E196" s="1">
        <v>130854.24</v>
      </c>
    </row>
    <row r="197" ht="12">
      <c r="E197" s="1">
        <v>906511.17</v>
      </c>
    </row>
    <row r="198" ht="12">
      <c r="E198" s="1">
        <v>352385.04</v>
      </c>
    </row>
    <row r="199" spans="5:6" ht="12">
      <c r="E199" s="1">
        <f>1108215.84-107609.85</f>
        <v>1000605.99</v>
      </c>
      <c r="F199" s="1">
        <v>107609.85</v>
      </c>
    </row>
    <row r="201" ht="12">
      <c r="E201" s="1">
        <v>60091.82</v>
      </c>
    </row>
    <row r="202" spans="4:6" ht="12">
      <c r="D202" s="1">
        <v>4265392</v>
      </c>
      <c r="E202" s="1">
        <f>1008895.43-549367.76</f>
        <v>459527.67</v>
      </c>
      <c r="F202" s="1">
        <v>549367.76</v>
      </c>
    </row>
    <row r="207" ht="12">
      <c r="E207" s="1">
        <v>2072480.18</v>
      </c>
    </row>
    <row r="208" ht="12">
      <c r="E208" s="1">
        <v>731000</v>
      </c>
    </row>
    <row r="209" ht="12">
      <c r="E209" s="1">
        <v>6764.81</v>
      </c>
    </row>
    <row r="215" ht="12">
      <c r="E215" s="1">
        <v>1251342.68</v>
      </c>
    </row>
    <row r="216" ht="12">
      <c r="E216" s="1">
        <v>666260</v>
      </c>
    </row>
    <row r="217" ht="12">
      <c r="E217" s="1">
        <v>21927.63</v>
      </c>
    </row>
    <row r="234" ht="12">
      <c r="E234" s="1">
        <v>225889.99</v>
      </c>
    </row>
    <row r="241" ht="12">
      <c r="E241" s="1">
        <v>2267.44</v>
      </c>
    </row>
    <row r="249" spans="4:5" ht="12">
      <c r="D249" s="1">
        <v>161000</v>
      </c>
      <c r="E249" s="1">
        <v>93774</v>
      </c>
    </row>
    <row r="252" ht="12">
      <c r="E252" s="1">
        <v>6106564.94</v>
      </c>
    </row>
    <row r="255" ht="12">
      <c r="E255" s="1">
        <v>63525.07</v>
      </c>
    </row>
    <row r="257" ht="12">
      <c r="E257" s="1">
        <v>600170.53</v>
      </c>
    </row>
    <row r="258" ht="12">
      <c r="E258" s="1">
        <v>92988</v>
      </c>
    </row>
    <row r="272" ht="12">
      <c r="E272" s="1">
        <v>687359.9</v>
      </c>
    </row>
  </sheetData>
  <sheetProtection/>
  <mergeCells count="1">
    <mergeCell ref="D3:D4"/>
  </mergeCells>
  <printOptions horizontalCentered="1"/>
  <pageMargins left="0.7874015748031497" right="0.3937007874015748" top="0.5905511811023623" bottom="0.3937007874015748" header="0.5118110236220472" footer="0.5118110236220472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NTT</cp:lastModifiedBy>
  <cp:lastPrinted>2009-03-24T12:32:17Z</cp:lastPrinted>
  <dcterms:created xsi:type="dcterms:W3CDTF">2001-05-16T07:18:04Z</dcterms:created>
  <dcterms:modified xsi:type="dcterms:W3CDTF">2009-03-31T08:56:12Z</dcterms:modified>
  <cp:category/>
  <cp:version/>
  <cp:contentType/>
  <cp:contentStatus/>
</cp:coreProperties>
</file>