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 - dochody " sheetId="1" r:id="rId1"/>
    <sheet name="2 - wydatki" sheetId="2" r:id="rId2"/>
    <sheet name="3 - jedn.pomoc." sheetId="3" r:id="rId3"/>
    <sheet name="4-plan doch. własnych" sheetId="4" r:id="rId4"/>
    <sheet name="5-dotacje dla zakł. budż. " sheetId="5" r:id="rId5"/>
    <sheet name="6- dotacje celowe- programy" sheetId="6" r:id="rId6"/>
    <sheet name="7-dotacje poz." sheetId="7" r:id="rId7"/>
    <sheet name="8-dot. celowe na zad. poroz." sheetId="8" r:id="rId8"/>
    <sheet name="9-dotacje na pomoc finansową" sheetId="9" r:id="rId9"/>
    <sheet name="10-dotacje na zadania wpólne" sheetId="10" r:id="rId10"/>
    <sheet name="11-Wykaz wieloletni" sheetId="11" r:id="rId11"/>
    <sheet name="12-Fundusze pomocowe" sheetId="12" r:id="rId12"/>
    <sheet name="13- GFOŚiGW" sheetId="13" r:id="rId13"/>
  </sheets>
  <definedNames>
    <definedName name="_xlnm.Print_Area" localSheetId="0">'1 - dochody '!$A$1:$G$331</definedName>
    <definedName name="_xlnm.Print_Area" localSheetId="9">'10-dotacje na zadania wpólne'!$A$1:$E$17</definedName>
    <definedName name="_xlnm.Print_Area" localSheetId="10">'11-Wykaz wieloletni'!$A$1:$P$206</definedName>
    <definedName name="_xlnm.Print_Area" localSheetId="11">'12-Fundusze pomocowe'!$A$1:$L$83</definedName>
    <definedName name="_xlnm.Print_Area" localSheetId="12">'13- GFOŚiGW'!$A$1:$C$54</definedName>
    <definedName name="_xlnm.Print_Area" localSheetId="1">'2 - wydatki'!$A$1:$M$317</definedName>
    <definedName name="_xlnm.Print_Area" localSheetId="2">'3 - jedn.pomoc.'!$A$1:$F$37</definedName>
    <definedName name="_xlnm.Print_Area" localSheetId="3">'4-plan doch. własnych'!$A$1:$J$13</definedName>
    <definedName name="_xlnm.Print_Area" localSheetId="4">'5-dotacje dla zakł. budż. '!$A$1:$P$123</definedName>
    <definedName name="_xlnm.Print_Area" localSheetId="5">'6- dotacje celowe- programy'!$A$1:$E$44</definedName>
    <definedName name="_xlnm.Print_Area" localSheetId="6">'7-dotacje poz.'!$A$1:$I$39</definedName>
    <definedName name="_xlnm.Print_Area" localSheetId="7">'8-dot. celowe na zad. poroz.'!$A$1:$G$13</definedName>
    <definedName name="_xlnm.Print_Area" localSheetId="8">'9-dotacje na pomoc finansową'!$A$1:$H$12</definedName>
  </definedNames>
  <calcPr fullCalcOnLoad="1" fullPrecision="0"/>
</workbook>
</file>

<file path=xl/sharedStrings.xml><?xml version="1.0" encoding="utf-8"?>
<sst xmlns="http://schemas.openxmlformats.org/spreadsheetml/2006/main" count="1490" uniqueCount="638">
  <si>
    <t>Nazwa programu wraz z wykazem zadań inwestycyjnych</t>
  </si>
  <si>
    <t>Nakłady finansowe na realizację zadania (w złotych)</t>
  </si>
  <si>
    <t>Od</t>
  </si>
  <si>
    <t>Do</t>
  </si>
  <si>
    <t>ROZBUDOWA I MODERNIZACJA SIECI KOMUNIKACJI DROGOWEJ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</si>
  <si>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</si>
  <si>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</si>
  <si>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KULTURA I OCHRONA DZIEDZICTWA NARODOWEGO</t>
  </si>
  <si>
    <t>2440</t>
  </si>
  <si>
    <t>Wpływy z podatku rolnego, podatku leśnego, podatku od spadków i darowizn,</t>
  </si>
  <si>
    <t>na ubezpieczenia emerytalne i rentowe z ubezpieczenia społecznego</t>
  </si>
  <si>
    <t>ROZBUDOWA I MODERNIZACJA ZASOBÓW MIESZKANIOWYCH</t>
  </si>
  <si>
    <t>Przebudowa remizy OSP w Trzebieży</t>
  </si>
  <si>
    <t>Wydz. TI</t>
  </si>
  <si>
    <t>TRANSGRANICZNA OCHRONA   ZASOBÓW  WÓD PODZIEMNYCH</t>
  </si>
  <si>
    <t>GOSPODARKA ZASOBAMI KOMUNALNYMI</t>
  </si>
  <si>
    <t xml:space="preserve">POPRAWA WARUNKÓW DZIAŁALNOŚCI SAMORZĄDÓW WIEJSKICH I OSIEDLOWYCH </t>
  </si>
  <si>
    <t xml:space="preserve">celowa
z budżetu
na inwestycje </t>
  </si>
  <si>
    <t>Promocja jednostek samorządu terytorialnego</t>
  </si>
  <si>
    <t>Zwalczanie narkomanii</t>
  </si>
  <si>
    <t xml:space="preserve">oraz składki na ubezpieczenia emerytalne i rentowe </t>
  </si>
  <si>
    <t xml:space="preserve">Plan </t>
  </si>
  <si>
    <t>Drogi publiczne wojewódzkie</t>
  </si>
  <si>
    <t>dochody bieżące</t>
  </si>
  <si>
    <t>dochody majątkowe</t>
  </si>
  <si>
    <t xml:space="preserve">URZĘDY NACZELNYCH ORGANÓW WŁADZY PAŃSTWOWEJ, </t>
  </si>
  <si>
    <t xml:space="preserve">DOCHODY OD OSÓB PRAWNYCH, OD OSÓB FIZYCZNYCH </t>
  </si>
  <si>
    <t>DOCHODY OD OSÓB PRAWNYCH, OD OSÓB FIZYCZNYCH I OD INNYCH</t>
  </si>
  <si>
    <t>JEDNOSTEK NIEPOSIADAJĄCYCH OSOBOWOŚCI  PRAWNEJ</t>
  </si>
  <si>
    <t>Zaległości od podatków zniesionych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</si>
  <si>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</si>
  <si>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</si>
  <si>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 xml:space="preserve">Utrzymanie zieleni </t>
  </si>
  <si>
    <t>Środki finansowe pozostałe z 2009 r.</t>
  </si>
  <si>
    <t>Wydz. SO</t>
  </si>
  <si>
    <t>Budowa budynku socjalnego przy ul. Niedziałkowskiego 12 
w Policach</t>
  </si>
  <si>
    <t>Odprowadzenie ścieków i wód opadowych z rejonu 
ul. Tanowskiej w Policach i miejscowości Trzeszczyn</t>
  </si>
  <si>
    <t>Budowa sieci kanalizacji sanitarnej i deszczowej w Siedlicach</t>
  </si>
  <si>
    <t>Budowa sieci kanalizacji sanitarnej i deszczowej w Przęsocinie</t>
  </si>
  <si>
    <t>ZOiSOK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</si>
  <si>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</si>
  <si>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</si>
  <si>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</si>
  <si>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</si>
  <si>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przy ul. Sikorskiego w Wieńkowie</t>
  </si>
  <si>
    <t>Budowa oświetlenia przy pomniku w Trzeszczynie</t>
  </si>
  <si>
    <t>Modernizacja budynku MOK przy ul. Siedleckiej w Policach</t>
  </si>
  <si>
    <t>Studium wykonalności obwodnicy Szczecina - pomoc finansowa dla Województwa Zachodniopomorskiego</t>
  </si>
  <si>
    <t>1. WYDATKI BUDŻETU GMINY W 2010 ROKU</t>
  </si>
  <si>
    <t>2. WYDATKI BUDŻETU GMINY W 2010 ROKU związane z realizacją zadań własnych</t>
  </si>
  <si>
    <t>5. WYDATKI BUDŻETU GMINY W 2010 ROKU  na pomoc finansową innym jednostkom samorządu terytorialnego</t>
  </si>
  <si>
    <t>WYDATKI JEDNOSTEK POMOCNICZYCH W 2010 ROKU</t>
  </si>
  <si>
    <t>PLAN DOCHODÓW I WYDATKÓW RACHUNKÓW DOCHODÓW WŁASNYCH JEDNOSTEK BUDŻETOWYCH GMINY W 2010 ROKU</t>
  </si>
  <si>
    <t>PLAN PRZYCHODÓW I WYDATKÓW ORAZ PLANOWANE DOTACJE DLA ZAKŁADÓW BUDŻETOWYCH W 2010 ROKU</t>
  </si>
  <si>
    <t>POZOSTAŁE DOTACJE NA ZADANIA PUBLICZNE W 2010 ROKU</t>
  </si>
  <si>
    <t>DOTACJE CELOWE NA POMOC FINANSOWĄ 
INNYM JEDNOSTKOM SAMORZĄDU TERYTORIALNEGO W 2010 ROKU</t>
  </si>
  <si>
    <t>Zasiłki stałe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</si>
  <si>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</si>
  <si>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</si>
  <si>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Zadania w zakresie przeciwdziałania przemocy w rodzinie</t>
  </si>
  <si>
    <t>I OD INNYCH JEDNOSTEK NIEPOSIADAJĄCYCH OSOBOWOŚCI PRAWNEJ</t>
  </si>
  <si>
    <t>POZOSTAŁE ZADANIA W ZAKRESIE POLITYKI SPOŁECZNEJ</t>
  </si>
  <si>
    <t>0770</t>
  </si>
  <si>
    <t>Wpłaty z tytułu odpłatnego nabycia prawa własności oraz prawa użytkowania wieczystego nieruchomości</t>
  </si>
  <si>
    <t>0370</t>
  </si>
  <si>
    <t>Opłata od posiadania psów</t>
  </si>
  <si>
    <t>4. DOCHODY ZWIĄZANE Z REALIZACJĄ ZADAŃ WYKONYWANYCH NA PODSTAWIE POROZUMIEŃ (UMÓW) 
MIĘDZY JEDNOSTKAMI SAMORZĄDU TERYTORIALNEGO</t>
  </si>
  <si>
    <t>inne</t>
  </si>
  <si>
    <t>ŚRODKI BUDŻETOWE</t>
  </si>
  <si>
    <t>ŚRODKI POMOCOWE</t>
  </si>
  <si>
    <t>INNE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</si>
  <si>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</si>
  <si>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</si>
  <si>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</si>
  <si>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KONTROLI I OCHRONY PRAWA ORAZ SĄDOWNICTWA</t>
  </si>
  <si>
    <t>GOSPODARKA KOMUNALNA I OCHRONA</t>
  </si>
  <si>
    <t>Oświetlenie ulic, placów i dróg</t>
  </si>
  <si>
    <t>Drogi publiczne powiatowe</t>
  </si>
  <si>
    <t>z tego:</t>
  </si>
  <si>
    <t>w tym:</t>
  </si>
  <si>
    <t>dotacje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</si>
  <si>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</si>
  <si>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</si>
  <si>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</si>
  <si>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</si>
  <si>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</si>
  <si>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</si>
  <si>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</si>
  <si>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</si>
  <si>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</si>
  <si>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01030</t>
  </si>
  <si>
    <t>Izby rolnicze</t>
  </si>
  <si>
    <t>Lokalny transport zbiorowy</t>
  </si>
  <si>
    <t>Różne rozliczenia finansowe</t>
  </si>
  <si>
    <t>Plany zagospodarowania przestrzennego</t>
  </si>
  <si>
    <t>Obsługa papierów wartościowych, kredytów</t>
  </si>
  <si>
    <t>i pożyczek jednostek samorządu terytorialnego</t>
  </si>
  <si>
    <t>Dowożenie uczniów do szkół</t>
  </si>
  <si>
    <t>Przeciwdziałanie alkoholizmowi</t>
  </si>
  <si>
    <t>Zakład Wodociągów i Kanalizacji 
w Policach</t>
  </si>
  <si>
    <t>Zakład Gospodarki Komunalnej 
i Mieszkaniowej w Policach</t>
  </si>
  <si>
    <t>Inne zadania</t>
  </si>
  <si>
    <t xml:space="preserve">POMOC SPOŁECZNA </t>
  </si>
  <si>
    <t xml:space="preserve">Zasiłki i pomoc w naturze oraz składki na </t>
  </si>
  <si>
    <t>Usługi opiekuńcze i specjalistyczne</t>
  </si>
  <si>
    <t>usługi opiekuńcze</t>
  </si>
  <si>
    <t>Przedszkola</t>
  </si>
  <si>
    <t>Przedszkola specjalne</t>
  </si>
  <si>
    <t>Gospodarka ściekowa i ochrona wód</t>
  </si>
  <si>
    <t>Oczyszczanie miast i wsi</t>
  </si>
  <si>
    <t>Domy i ośrodki kultury, świetlice i kluby</t>
  </si>
  <si>
    <t>Rady gmin (miast i miast na prawach powiatu)</t>
  </si>
  <si>
    <t>Zadania w zakresie kultury fizycznej i sportu</t>
  </si>
  <si>
    <t>Urzędy wojewódzkie</t>
  </si>
  <si>
    <t xml:space="preserve">PAŃSTWOWEJ, KONTROLI I OCHRONY </t>
  </si>
  <si>
    <t>Poz.</t>
  </si>
  <si>
    <t>w zł</t>
  </si>
  <si>
    <t>x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</si>
  <si>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</si>
  <si>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</si>
  <si>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</si>
  <si>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</si>
  <si>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</si>
  <si>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</si>
  <si>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Zadania w zakresie upowszechniania kultury fizycznej</t>
  </si>
  <si>
    <t>i sportu</t>
  </si>
  <si>
    <t xml:space="preserve"> - przeciwdziałanie patologiom społecznym poprzez</t>
  </si>
  <si>
    <t xml:space="preserve">   prowadzenie działalności na rzecz niepijących</t>
  </si>
  <si>
    <t xml:space="preserve"> - ochrona zabytków wpisanych do rejestru zabytków</t>
  </si>
  <si>
    <t xml:space="preserve"> - podtrzymywanie tradycji narodowej, pielęgnowanie </t>
  </si>
  <si>
    <t xml:space="preserve">   obywatelskiej, kulturowej</t>
  </si>
  <si>
    <t xml:space="preserve">   polskości oraz rozwój świadomości narodowej</t>
  </si>
  <si>
    <t>INSTYTUCJE KULTURY:</t>
  </si>
  <si>
    <t>POZOSTAŁE PODMIOTY:</t>
  </si>
  <si>
    <t>Studium wykonalności obwodnicy Szczecina</t>
  </si>
  <si>
    <t>Środki na dofinansowanie własnych inwestycji gmin (związków gmin), powiatów (związków powiatów), samorządów województw, pozyskane z innych źródeł</t>
  </si>
  <si>
    <t>Grzywny, mandaty i inne kary pieniężne od osób fizycznych</t>
  </si>
  <si>
    <t>Wpływy z opłaty eksploatacyjnej</t>
  </si>
  <si>
    <t>Wpływy z opłat za wydawanie zezwoleń na sprzedaż alkoholu</t>
  </si>
  <si>
    <t>Pomoc materialna dla uczniów</t>
  </si>
  <si>
    <t>Jasienica                          (Nr 3)</t>
  </si>
  <si>
    <t>Dąbrówki                          (Nr 4)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</si>
  <si>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</si>
  <si>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</si>
  <si>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</si>
  <si>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</si>
  <si>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</si>
  <si>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</si>
  <si>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</si>
  <si>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</si>
  <si>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</si>
  <si>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</si>
  <si>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</si>
  <si>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</si>
  <si>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</si>
  <si>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</si>
  <si>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</si>
  <si>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</si>
  <si>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</si>
  <si>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</si>
  <si>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</si>
  <si>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</si>
  <si>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</si>
  <si>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</si>
  <si>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</si>
  <si>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</si>
  <si>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</si>
  <si>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</si>
  <si>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</si>
  <si>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jednostek samorządu terytorialnego na podstawie ustaw</t>
  </si>
  <si>
    <t>Dział 921 rozdział 92109</t>
  </si>
  <si>
    <t>Ochotnicze Hufce Pracy</t>
  </si>
  <si>
    <t>Dokształcanie i doskonalenie nauczycieli</t>
  </si>
  <si>
    <t>Biblioteki</t>
  </si>
  <si>
    <t>Edukacja ekologiczna</t>
  </si>
  <si>
    <t>Roz-dział</t>
  </si>
  <si>
    <t>Podmiot wykonujący</t>
  </si>
  <si>
    <t>Wydz.TI</t>
  </si>
  <si>
    <t>Wydz.GKM</t>
  </si>
  <si>
    <t>i innych jednostek organizacyjnych</t>
  </si>
  <si>
    <t>Instytucje kultury fizycznej</t>
  </si>
  <si>
    <t>Nazwa zakładu budżetowego</t>
  </si>
  <si>
    <t>Szkoła Podstawowa nr 1 w Policach</t>
  </si>
  <si>
    <t>Szkoła Podstawowa nr 2 w Policach</t>
  </si>
  <si>
    <t>Szkoła Podstawowa nr 3 w Policach</t>
  </si>
  <si>
    <t>`</t>
  </si>
  <si>
    <t>Szkoła Podstawowa nr 8 w Policach</t>
  </si>
  <si>
    <t>Szkoła Podstawowa w Tanowie</t>
  </si>
  <si>
    <t>Ochrona powietrza atmosferycznego i klimatu</t>
  </si>
  <si>
    <t>Opieka nad zwierzętami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</si>
  <si>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</si>
  <si>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</si>
  <si>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</si>
  <si>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</si>
  <si>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</si>
  <si>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środki budżetowe</t>
  </si>
  <si>
    <t>Wpływy z różnych opłat (za emisję)</t>
  </si>
  <si>
    <t>Wpływy z różnych opłat (pozostałe wpływy)</t>
  </si>
  <si>
    <t>Dział 900                             Rozdział 90011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</si>
  <si>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</si>
  <si>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</si>
  <si>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</si>
  <si>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</si>
  <si>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</si>
  <si>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</si>
  <si>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 xml:space="preserve"> - prowadzenie Środowiskowego Domu Samopomocy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</si>
  <si>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</si>
  <si>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</si>
  <si>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</si>
  <si>
    <t>Zakład Odzysku i Składowania Odpadów Komunalnych w Leśnie Górnym</t>
  </si>
  <si>
    <t>Gimnazjum nr 1 w Policach</t>
  </si>
  <si>
    <t>Gimnazjum nr 3 w Policach</t>
  </si>
  <si>
    <t>Żłobek Miejski</t>
  </si>
  <si>
    <t>RAZEM ZAKŁADY BUDŻETOWE</t>
  </si>
  <si>
    <t>Przedszkole Publiczne nr 11 w Policach</t>
  </si>
  <si>
    <t>własne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</si>
  <si>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</si>
  <si>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</si>
  <si>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</si>
  <si>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</si>
  <si>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</si>
  <si>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</si>
  <si>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</si>
  <si>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</si>
  <si>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</si>
  <si>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</si>
  <si>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</si>
  <si>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</si>
  <si>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</si>
  <si>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</si>
  <si>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</si>
  <si>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</si>
  <si>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</si>
  <si>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</si>
  <si>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Okres realizacji</t>
  </si>
  <si>
    <t>Gimnazja zbiorczo, w tym:</t>
  </si>
  <si>
    <t>Przedszkola zbiorczo, w tym:</t>
  </si>
  <si>
    <t>podmiotowa z budżetu na wydatki bieżące</t>
  </si>
  <si>
    <t>Łączna         wartość          inwestycji</t>
  </si>
  <si>
    <t>DOSTARCZENIE I POPRAWA JAKOŚCI WODY</t>
  </si>
  <si>
    <t>Przebudowa i rozbudowa sieci wodociągowej w Pilchowie</t>
  </si>
  <si>
    <t>Budowa ścieżek rowerowych</t>
  </si>
  <si>
    <t>Budowa sieci kanalizacji sanitarnej i deszczowej w Tanowie</t>
  </si>
  <si>
    <t>Rozbudowa sieci kanalizacji sanitarnej i deszczowej w Pilchowie</t>
  </si>
  <si>
    <t>Przebudowa Parku "Staromiejskiego" w Policach</t>
  </si>
  <si>
    <t>NAKŁADY  OGÓŁEM, W TYM:</t>
  </si>
  <si>
    <t>60016</t>
  </si>
  <si>
    <t>Wydz. GKM</t>
  </si>
  <si>
    <t>Informacje  dodatkowe</t>
  </si>
  <si>
    <t>Prognozowane nakłady w latach następnych</t>
  </si>
  <si>
    <t>ROZBUDOWA BAZY TURYSTYCZNEJ</t>
  </si>
  <si>
    <t>nakłady ogółem, w tym:</t>
  </si>
  <si>
    <t>OCHRONA ŚRODOWISKA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</si>
  <si>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</si>
  <si>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</si>
  <si>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</si>
  <si>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</si>
  <si>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</si>
  <si>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</si>
  <si>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</si>
  <si>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BUDOWA OŚWIETLENIA ULICZNEGO</t>
  </si>
  <si>
    <t>Oświetlenie drogi pomiędzy Drogoradzem a Uniemyślem</t>
  </si>
  <si>
    <t>Zespół Szkół nr 2 w Policach</t>
  </si>
  <si>
    <t xml:space="preserve">Szkoła Podstawowa nr 6 </t>
  </si>
  <si>
    <t>Zespół Szkół w Trzebieży</t>
  </si>
  <si>
    <t xml:space="preserve">Szkoła Podstawowa </t>
  </si>
  <si>
    <t>Zespół Szkół nr 1 w Policach</t>
  </si>
  <si>
    <t>Gimnazjum nr 2</t>
  </si>
  <si>
    <t xml:space="preserve">Gimnazjum nr 4 </t>
  </si>
  <si>
    <t>Zespół Szkół  w Trzebieży</t>
  </si>
  <si>
    <t xml:space="preserve">Gimnazjum </t>
  </si>
  <si>
    <t>Nazwa programu</t>
  </si>
  <si>
    <t>Nazwa projektu</t>
  </si>
  <si>
    <t>Źródła finansowania</t>
  </si>
  <si>
    <t>Obiekty sportowe</t>
  </si>
  <si>
    <r>
      <t>Pozostała działalnoś</t>
    </r>
    <r>
      <rPr>
        <sz val="9"/>
        <rFont val="Arial"/>
        <family val="2"/>
      </rPr>
      <t>ć</t>
    </r>
  </si>
  <si>
    <t>podmiotowe na wydatki bieżące</t>
  </si>
  <si>
    <t>celowe</t>
  </si>
  <si>
    <t>Nazwa podmiotu</t>
  </si>
  <si>
    <t>Miejski Ośrodek Kultury w Policach</t>
  </si>
  <si>
    <t>Biblioteka im. M. Skłodowskiej-Curie</t>
  </si>
  <si>
    <t>w Policach</t>
  </si>
  <si>
    <t xml:space="preserve">z tytułu uczęszczania dzieci z Gminy Police </t>
  </si>
  <si>
    <t>do przedszkoli niepublicznych w Szczecinie</t>
  </si>
  <si>
    <t>do Przedszkola Specjalnego nr 21 w Szczecinie</t>
  </si>
  <si>
    <t>na działania profilaktyczne dla osób</t>
  </si>
  <si>
    <t>zagrożonych uzależnieniem od alkoholu</t>
  </si>
  <si>
    <t xml:space="preserve">Gmina Miasto Szczecin - dotacja </t>
  </si>
  <si>
    <t>Zakres zadania</t>
  </si>
  <si>
    <t>ZAKŁADY</t>
  </si>
  <si>
    <t>POZOSTAŁE</t>
  </si>
  <si>
    <t>PROGRAMY</t>
  </si>
  <si>
    <t>POWIAT</t>
  </si>
  <si>
    <t>DOTACJE</t>
  </si>
  <si>
    <t>środki pomocowe</t>
  </si>
  <si>
    <t xml:space="preserve"> - 311.000 z oświetlenia</t>
  </si>
  <si>
    <t>2030</t>
  </si>
  <si>
    <t>POMOC SPOŁECZNA</t>
  </si>
  <si>
    <t>POLITYKI SPOŁECZNEJ</t>
  </si>
  <si>
    <t>POZOSTAŁE ZADANIA W ZAKRESIE</t>
  </si>
  <si>
    <t>ORAZ WYDATKI ZWIĄZANE Z ICH POBOREM</t>
  </si>
  <si>
    <t>NIEPOSIADAJĄCYCH OSOBOWOŚCI PRAWNEJ</t>
  </si>
  <si>
    <t>Usługi opiekuńcze i specjalistyczne usługi opiekuńcze</t>
  </si>
  <si>
    <t xml:space="preserve">DOCHODY OD OSÓB PRAWNYCH, </t>
  </si>
  <si>
    <t>OD OSÓB FIZYCZNYCH I OD INNYCH JEDNOSTEK</t>
  </si>
  <si>
    <t xml:space="preserve"> I OCHRONA ŚRODOWISKA</t>
  </si>
  <si>
    <t>opiekuńcze</t>
  </si>
  <si>
    <t>Usługi opiekuńcze i specjalistyczne usługi</t>
  </si>
  <si>
    <t>Wpływy z podatku dochodowego od osób fizycznych</t>
  </si>
  <si>
    <t>Ośrodki wsparcia</t>
  </si>
  <si>
    <t>Przychody</t>
  </si>
  <si>
    <t xml:space="preserve">Pobór podatków, opłat i niepodatkowych </t>
  </si>
  <si>
    <t>należności budżetowych</t>
  </si>
  <si>
    <t>Zakresy zadań</t>
  </si>
  <si>
    <t>na wydatki bieżące</t>
  </si>
  <si>
    <t>na wydatki inwestycyjne</t>
  </si>
  <si>
    <t xml:space="preserve"> - prowadzenie środowiskowych ognisk wychowawczych</t>
  </si>
  <si>
    <t>0460</t>
  </si>
  <si>
    <t>2680</t>
  </si>
  <si>
    <t>Utrzymanie zieleni w miastach i gminach</t>
  </si>
  <si>
    <t>STAN FUNDUSZU NA KONIEC ROKU</t>
  </si>
  <si>
    <t>Dochody</t>
  </si>
  <si>
    <t>Stan środków pieniężnych 
na początek roku</t>
  </si>
  <si>
    <t>Stan środków pieniężnych 
na koniec roku</t>
  </si>
  <si>
    <t>Nazwa zadania</t>
  </si>
  <si>
    <t>Stołówki szkolne</t>
  </si>
  <si>
    <t>pobierające niektóre świadczenia z pomocy społecznej,</t>
  </si>
  <si>
    <t>niektóre świadczenia rodzinne oraz za osoby</t>
  </si>
  <si>
    <t>uczestniczące w zajęciach w centrum integracji społecznej</t>
  </si>
  <si>
    <t>ubezpieczenia emerytalne i rentowe</t>
  </si>
  <si>
    <t>Ochrona zabytków i opieka nad zabytkami</t>
  </si>
  <si>
    <t>Komendy powiatowe Policji</t>
  </si>
  <si>
    <t>Dostarczanie paliw gazowych</t>
  </si>
  <si>
    <t>Zadania w zakresie kultury i ochrony</t>
  </si>
  <si>
    <t>dziedzictwa narodowego</t>
  </si>
  <si>
    <t>wydatki na obsługę długu</t>
  </si>
  <si>
    <t>wydatki z tytułu poręczeń i gwarancji</t>
  </si>
  <si>
    <t>wydatki majątkowe</t>
  </si>
  <si>
    <t>wydatki bieżące</t>
  </si>
  <si>
    <t>Wpływy z podatku rolnego, podatku leśnego, podatku od czynności</t>
  </si>
  <si>
    <t>cywilnoprawnych, podatków i opłat lokalnych od osób prawnych</t>
  </si>
  <si>
    <t>Województwo Zachodniopomorskie</t>
  </si>
  <si>
    <t>Jednostka 
samorządu terytorialnego</t>
  </si>
  <si>
    <t>Załącznik nr 5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</si>
  <si>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</si>
  <si>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</si>
  <si>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podatku od czynności cywilnoprawnych oraz podatków i opłat lokalnych</t>
  </si>
  <si>
    <t>od osób fizycznych</t>
  </si>
  <si>
    <t>z ubezpieczenia społecznego</t>
  </si>
  <si>
    <t>Nazwa jednostki budżetowej</t>
  </si>
  <si>
    <t>Ośrodek Pomocy Społecznej 
w Policach</t>
  </si>
  <si>
    <t>Ośrodek Sportu i Rekreacji 
w Policach</t>
  </si>
  <si>
    <t>Zakłady gospodarki mieszkaniowej</t>
  </si>
  <si>
    <t>Rezerwy ogólne i celowe</t>
  </si>
  <si>
    <t>Programy polityki zdrowotnej</t>
  </si>
  <si>
    <t>Ośrodki pomocy społecznej</t>
  </si>
  <si>
    <t>Żłobki</t>
  </si>
  <si>
    <t>Kolonie i obozy oraz inne formy wypoczynku dzieci</t>
  </si>
  <si>
    <t>i młodzieży szkolnej, a także szkolenia młodzieży</t>
  </si>
  <si>
    <t>Składki na ubezpieczenia zdrowotne opłacane za osoby</t>
  </si>
  <si>
    <t>Wpływy i wydatki związane z gromadzeniem</t>
  </si>
  <si>
    <t>środków z opłat produktowych</t>
  </si>
  <si>
    <t>Nazwa podziałki klasyfikacji budżetowej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</si>
  <si>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</si>
  <si>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</si>
  <si>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</si>
  <si>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</si>
  <si>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</si>
  <si>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</si>
  <si>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</si>
  <si>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</si>
  <si>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</si>
  <si>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</si>
  <si>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</si>
  <si>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</si>
  <si>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</si>
  <si>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</si>
  <si>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</si>
  <si>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</si>
  <si>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</si>
  <si>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</si>
  <si>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</si>
  <si>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</si>
  <si>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</si>
  <si>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</si>
  <si>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</si>
  <si>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</si>
  <si>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</si>
  <si>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</si>
  <si>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</si>
  <si>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</si>
  <si>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</si>
  <si>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Zadania w zakresie ochrony zdrowia,</t>
  </si>
  <si>
    <t>Zadania w zakresie pomocy społecznej,</t>
  </si>
  <si>
    <t>Wpływy z różnych dochodów</t>
  </si>
  <si>
    <t>Wpływy z opłat za koncesje i licencje</t>
  </si>
  <si>
    <t>Wpływy z różnych opłat</t>
  </si>
  <si>
    <t>24.</t>
  </si>
  <si>
    <t>25.</t>
  </si>
  <si>
    <t>Dotacje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</si>
  <si>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</si>
  <si>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</si>
  <si>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</si>
  <si>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</si>
  <si>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</si>
  <si>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Środki obrotowe na początek roku</t>
  </si>
  <si>
    <t>Środki obrotowe na koniec roku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</si>
  <si>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</si>
  <si>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</si>
  <si>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</si>
  <si>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</si>
  <si>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</si>
  <si>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</si>
  <si>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</si>
  <si>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</si>
  <si>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</si>
  <si>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</si>
  <si>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</si>
  <si>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Subwencje ogólne z budżetu państwa</t>
  </si>
  <si>
    <t xml:space="preserve"> </t>
  </si>
  <si>
    <t>Wyszczególnienie</t>
  </si>
  <si>
    <t>Plan</t>
  </si>
  <si>
    <t>wynagrodzenia 
i pochodne</t>
  </si>
  <si>
    <t>Rekompensaty utraconych dochodów w podatkach i opłatach lokalnych</t>
  </si>
  <si>
    <t>IV</t>
  </si>
  <si>
    <t>(według działów, rozdziałów i paragrafów klasyfikacji budżetowej)</t>
  </si>
  <si>
    <t>2. DOCHODY ZWIĄZANE Z REALIZACJĄ ZADAŃ WŁASNYCH</t>
  </si>
  <si>
    <t>3. DOCHODY ZWIĄZANE Z REALIZACJĄ ZADAŃ Z ZAKRESU ADMINISTRACJI RZĄDOWEJ 
ORAZ INNYCH ZADAŃ ZLECONYCH USTAWAMI</t>
  </si>
  <si>
    <t>(według działów i rozdziałów klasyfikacji budżetowej)</t>
  </si>
  <si>
    <t>(zestawienie zbiorcze według działów klasyfikacji budżetowej)</t>
  </si>
  <si>
    <t>(zestawienie zbiorcze ogółem według działów klasyfikacji budżetowej)</t>
  </si>
  <si>
    <t>Gryfitów                            (Nr 5)</t>
  </si>
  <si>
    <t>Księcia Bogusława X       (Nr 6)</t>
  </si>
  <si>
    <t>Anny Jagiellonki               (Nr 7)</t>
  </si>
  <si>
    <t>Zadania w zakresie działalności na rzecz wspierania osób niepełnosprawnych</t>
  </si>
  <si>
    <t xml:space="preserve">bieżące </t>
  </si>
  <si>
    <t>majątkowe</t>
  </si>
  <si>
    <t>Dotacje celowe otrzymane z budżetu państwa na realizację własnych zadań bieżących gmin (związków gmin)</t>
  </si>
  <si>
    <t>Oddziały przedszkolne w szkołach podstawowych</t>
  </si>
  <si>
    <t>2708</t>
  </si>
  <si>
    <t>Dział</t>
  </si>
  <si>
    <t>TRANSPORT I ŁĄCZNOŚĆ</t>
  </si>
  <si>
    <t>TURYSTYKA</t>
  </si>
  <si>
    <t>GOSPODARKA MIESZKANIOWA</t>
  </si>
  <si>
    <t>DZIAŁALNOŚĆ USŁUGOWA</t>
  </si>
  <si>
    <t>wpłata do budżetu</t>
  </si>
  <si>
    <t>ADMINISTRACJA PUBLICZNA</t>
  </si>
  <si>
    <t>URZĘDY NACZELNYCH ORGANÓW WŁADZY</t>
  </si>
  <si>
    <t>BEZPIECZEŃSTWO PUBLICZNE</t>
  </si>
  <si>
    <t>I OCHRONA PRZECIWPOŻAROWA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</si>
  <si>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</si>
  <si>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</si>
  <si>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</si>
  <si>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</si>
  <si>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</si>
  <si>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</si>
  <si>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</si>
  <si>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RAZEM</t>
  </si>
  <si>
    <t>Rozdział</t>
  </si>
  <si>
    <t>Treść</t>
  </si>
  <si>
    <t>WYTWARZANIE I ZAOPATRYWANIE W ENERGIĘ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</si>
  <si>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</si>
  <si>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</si>
  <si>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</si>
  <si>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</si>
  <si>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</si>
  <si>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</si>
  <si>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</si>
  <si>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</si>
  <si>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</si>
  <si>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</si>
  <si>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</si>
  <si>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Szkoły podstawowe</t>
  </si>
  <si>
    <t>Gimnazja</t>
  </si>
  <si>
    <t>Dodatki mieszkaniowe</t>
  </si>
  <si>
    <t>ŚRODOWISKA</t>
  </si>
  <si>
    <t>Gospodarka odpadami</t>
  </si>
  <si>
    <t>Paragraf</t>
  </si>
  <si>
    <t>01008</t>
  </si>
  <si>
    <t>Melioracje wodne</t>
  </si>
  <si>
    <t>01095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</si>
  <si>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</si>
  <si>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</si>
  <si>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</si>
  <si>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</si>
  <si>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</si>
  <si>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</si>
  <si>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</si>
  <si>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</si>
  <si>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Wydatki</t>
  </si>
  <si>
    <t>Dochody jednostek samorządu terytorialnego związane z realizacją zadań z zakresu administracji rządowej oraz innych zadań zleconych ustawami</t>
  </si>
  <si>
    <t>wynagrodzenia
i składki od nich naliczane</t>
  </si>
  <si>
    <t>wydatki jednostek budżetowych</t>
  </si>
  <si>
    <t>wydatki związane 
z realizacją zadań statutowych</t>
  </si>
  <si>
    <t>dotacje 
na zadania bieżące</t>
  </si>
  <si>
    <t>Rozdz.</t>
  </si>
  <si>
    <t>Lata realizacji projektu</t>
  </si>
  <si>
    <t>Wartość całkowita projektu
(w zł)</t>
  </si>
  <si>
    <t>Planowane płatności w latach w ramach projektu</t>
  </si>
  <si>
    <t>2010 r.</t>
  </si>
  <si>
    <t>2011 r.</t>
  </si>
  <si>
    <t>2012 r.</t>
  </si>
  <si>
    <t>Przedszkole Niepubliczne w Pilchowie - dotacja                    za pobyt dzieci z Gminy Police w przedszkolu niepublicznym w Pilchowie</t>
  </si>
  <si>
    <t>Przedszkole Niepubliczne w Policach - dotacja                    za pobyt dzieci z Gminy Police w przedszkolu niepublicznym w Policach</t>
  </si>
  <si>
    <t xml:space="preserve">   alkoholików i ich rodzin</t>
  </si>
  <si>
    <t>Zadania w zakresie organizacji wypoczynku dzieci 
i młodzieży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</si>
  <si>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</si>
  <si>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</si>
  <si>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</si>
  <si>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</si>
  <si>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Dotacje celowe na realizację projektu systemowego 
pn. "Pobudka – …..",</t>
  </si>
  <si>
    <t>DOTACJE CELOWE NA ZADANIA BIEŻĄCE ZWIĄZANE Z REALIZACJĄ ZADAŃ WSPÓLNYCH 
WYKONYWANYCH W DRODZE UMÓW LUB POROZUMIEŃ 
MIĘDZY JEDNOSTKAMI SAMORZĄDU TERYTORIALNEGO W 2010 ROKU</t>
  </si>
  <si>
    <t>OGÓŁEM:</t>
  </si>
  <si>
    <t>inne środki</t>
  </si>
  <si>
    <t>Program Operacyjny Kapitał Ludzki</t>
  </si>
  <si>
    <t>INTERREG IVA</t>
  </si>
  <si>
    <t>2008-2010</t>
  </si>
  <si>
    <t>Pobudka - ...</t>
  </si>
  <si>
    <t>Zakup samochodów gaśniczych na potrzeby OSP na terenie gminy</t>
  </si>
  <si>
    <t>Policki Prymus - podniesienie jakości kształcenia w gimnazjach prowadzonych przez Gminę Police</t>
  </si>
  <si>
    <t xml:space="preserve">Przebudowa strażnic i świetlic OSP na terenie gminy </t>
  </si>
  <si>
    <t>2010-2011</t>
  </si>
  <si>
    <t>2009-2011</t>
  </si>
  <si>
    <t>Budowa świetlicy wiejskiej w m. Trzeszczyn</t>
  </si>
  <si>
    <t>2006-2010</t>
  </si>
  <si>
    <t>Przebudowa świetlicy wiejskiej w m. Uniemyśl</t>
  </si>
  <si>
    <t>Różne języki, jedna tradycja</t>
  </si>
  <si>
    <t>Święto szkoły</t>
  </si>
  <si>
    <t>Słowiańska dusza</t>
  </si>
  <si>
    <t>Polsko-Niemiecka Współpraca Młodzieży Stowarzyszenia Gmin Polskich Euroregionu POMERANIA</t>
  </si>
  <si>
    <t>Program Rozwoju Obszarów Wiejskich</t>
  </si>
  <si>
    <t>Budowa Polickiego Systemu Informacji Przestrzennej GIS</t>
  </si>
  <si>
    <t>Nakłady poniesione do 2009</t>
  </si>
  <si>
    <t>Planowane nakłady w 2010</t>
  </si>
  <si>
    <t>po 2014</t>
  </si>
  <si>
    <t>środki budżetowe**</t>
  </si>
  <si>
    <t>20% - Rządowy Program wsparcia finansowego z Funduszu Dopłat tworzenia lokali socjalnych, mieszkań chronionych, noclegowni i domów dla bezdomnych</t>
  </si>
  <si>
    <t>Przebudowa Przedszkola Publicznego nr 9 w Policach</t>
  </si>
  <si>
    <t>Rozbudowa Przedszkola Publicznego w m. Tanowo</t>
  </si>
  <si>
    <t>Budowa sieci kanalizacji deszczowej w ul. Wodnej w Policach</t>
  </si>
  <si>
    <t>Budowa oświetlenia przy ul. Słonecznej w Trzebieży</t>
  </si>
  <si>
    <t>EDUKACJA  EKOLOGICZNA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</si>
  <si>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</si>
  <si>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</si>
  <si>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</si>
  <si>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Budowa świetlicy wiejskiej w m. Wieńkowo</t>
  </si>
  <si>
    <t>Budowa świetlicy wiejskiej w m. Siedlice</t>
  </si>
  <si>
    <t>ROZBUDOWA BAZY SPORTOWO-REKREACYJNEJ</t>
  </si>
  <si>
    <t>Budowa ogólnodostępnych boisk sportowych w ramach programu Moje boisko Orlik 2012 w Niekłończycy, gm. Police</t>
  </si>
  <si>
    <t xml:space="preserve">Program Rozwoju Obszarów Wiejskich </t>
  </si>
  <si>
    <t>Plan na 2010 r.</t>
  </si>
  <si>
    <t>Środki finansowe pozostałe z 2010 r.</t>
  </si>
  <si>
    <t>Przebudowa ulicy Piaskowej w Policach</t>
  </si>
  <si>
    <t>Regionalny Program Operacyjny 
dla Województwa Zachodniopomorskiego</t>
  </si>
  <si>
    <t>Modernizacja parkietu sali ćwiczeń w hali sportowej w Zespole Obiektów Sportowych w Policach, ul. Siedlecka 2b</t>
  </si>
  <si>
    <t>Przebudowa wiaduktu drogowego przy ul. Piotra i Pawła 
w Policach</t>
  </si>
  <si>
    <t>Wykonanie projektów i realizacja budowy ulic: Leśnej 
w m. Tanowo, Dębowej, Staroleśnej i Sosnowej w m. Pilchowo</t>
  </si>
  <si>
    <t>Rozbudowa Miejskiej Przystani Żeglarskiej w Policach 
przy ul. Konopnickiej 12</t>
  </si>
  <si>
    <t>Budowa budynków mieszkalno-usługowych przy ul. Bankowej 
w Policach</t>
  </si>
  <si>
    <t>Budowa sieci kanalizacji deszczowej i wodociągowej 
w ul. Usługowej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</si>
  <si>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</si>
  <si>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</si>
  <si>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</si>
  <si>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Rozbudowa i modernizacja instalacji Zakładu Odzysku 
i Składowania Odpadów Komunalnych w Leśnie Górnym</t>
  </si>
  <si>
    <t>Budowa oświetlenia pomiędzy ul. Dolną a ul. Osadników 
w Trzebieży</t>
  </si>
  <si>
    <t>Transgraniczny Ośrodek Edukacji Ekologicznej - projekt 
pn. "Życie nad Zalewem Szczecińskim i w Puszczy Wkrzańskiej - ekologia, edukacja i historia"</t>
  </si>
  <si>
    <t>Przebudowa świetlicy Rady Osiedla nr 4 przy ul. Piaskowej 47a 
w Policach</t>
  </si>
  <si>
    <t>teren miasta Police oraz VAT niekwalifikowane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</si>
  <si>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</si>
  <si>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 xml:space="preserve"> - pomoc chorym na fenyloketonurię, cukrzycę, 
   opieka hospicyjna i inne</t>
  </si>
  <si>
    <t xml:space="preserve">1. PROGNOZOWANE DOCHODY BUDŻETU GMINY POLICE W 2010 ROKU  </t>
  </si>
  <si>
    <t>600</t>
  </si>
  <si>
    <t>630</t>
  </si>
  <si>
    <t>63003</t>
  </si>
  <si>
    <t>BEZPIECZEŃSTWO PUBLICZNE I OCHRONA PRZECIWPOŻAROWA</t>
  </si>
  <si>
    <t>Udziały gmin w podatkach stanowiących dochód budżetu państwa</t>
  </si>
  <si>
    <t>2705</t>
  </si>
  <si>
    <t xml:space="preserve">Świadczenia rodzinne, świadczenie z funduszu alimentacyjnego oraz składki </t>
  </si>
  <si>
    <t>0980</t>
  </si>
  <si>
    <t>Wpływy z tytułu zwrotów wypłaconych świadczeń z funduszu alimentacyjnego</t>
  </si>
  <si>
    <t xml:space="preserve">Składki na ubezpieczenie zdrowotne opłacane za osoby pobierające niektóre </t>
  </si>
  <si>
    <t>świadczenia z pomocy społecznej, niektóre świadczenia rodzinne oraz za osoby</t>
  </si>
  <si>
    <t>URZĘDY NACZELNYCH ORGANÓW WŁADZY PAŃSTWOWEJ,</t>
  </si>
  <si>
    <t>Urzędy naczelnych organów władzy państwowej, kontroli i ochrony prawa</t>
  </si>
  <si>
    <t>Składki na ubezpieczenia zdrowotne opłacane za osoby, pobierające niektóre</t>
  </si>
  <si>
    <t xml:space="preserve">5. DOCHODY ZWIĄZANE Z REALIZACJĄ ZADAŃ WSPÓLNYCH WYKONYWANYCH W DRODZE UMÓW LUB POROZUMIEŃ </t>
  </si>
  <si>
    <t>MIĘDZY JEDNOSTKAMI SAMORZĄDU TERYTORIALNEGO</t>
  </si>
  <si>
    <t>Transgraniczne Wystawy Gospodarcze 
w obrębie Euroregionu Pomerania 2009</t>
  </si>
  <si>
    <t>Odprowadzenie ścieków i wód opadowych 
z rejonu ul. Tanowskiej w Policach 
i miejscowości Trzeszczyn</t>
  </si>
  <si>
    <t>Transgraniczny Ośrodek Edukacji Ekologicznej - projekt pn. "Życie nad Zalewem Szczecińskim i w Puszczy Wkrzańskiej - ekologia, edukacja 
i historia"</t>
  </si>
  <si>
    <t>Limity wydatków Gminy Police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</si>
  <si>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DOTACJE CELOWE NA ZADANIA REALIZOWANE NA PODSTAWIE POROZUMIEŃ (UMÓW) MIĘDZY JEDNOSTKAMI SAMORZĄDU TERYTORIALNEGO 
WYKONYWANE PRZEZ PODMIOTY NIENALEŻĄCE DO SEKTORA FINANSÓW PUBLICZNYCH W 2010 ROKU</t>
  </si>
  <si>
    <t>Źródło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</si>
  <si>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</si>
  <si>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4. WYDATKI BUDŻETU GMINY W 2010 ROKU  związane z realizacją zadań wykonywanych na podstawie porozumień (umów) 
między jednostkami samorządu terytorialnego</t>
  </si>
  <si>
    <t>6. WYDATKI BUDŻETU GMINY W 2010 ROKU  związane z realizacją zadań wspólnych wykonywanych w drodze umów lub porozumień
między jednostkami samorządu terytorialnego</t>
  </si>
  <si>
    <t>świadczenia na rzecz osób fizycznych</t>
  </si>
  <si>
    <t>3. WYDATKI BUDŻETU GMINY W 2010 ROKU  związane z realizacją zadań z zakresu administracji rządowej oraz innych zadań zleconych ustawami</t>
  </si>
  <si>
    <t>PLAN PRZYCHODÓW I WYDATKÓW 
GMINNEGO FUNDUSZU OCHRONY ŚRODOWISKA I GOSPODARKI WODNEJ 
W 2010 ROKU</t>
  </si>
  <si>
    <t>2004-2010</t>
  </si>
  <si>
    <t>2009-2010</t>
  </si>
  <si>
    <t>Świadczenia rodzinne, świadczenie z funduszu alimentacyjnego</t>
  </si>
  <si>
    <t>Towarzystwo Przyjaciół Dzieci w Policach - dotacja dla punktu przedszkolnego TPD 
w Policach</t>
  </si>
  <si>
    <t>TI</t>
  </si>
  <si>
    <t>Jednostka organizacyjna realizująca program lub koordynująca wykonanie programu</t>
  </si>
  <si>
    <t>Wydział GKM</t>
  </si>
  <si>
    <t>Wydział TI</t>
  </si>
  <si>
    <t>Wydział PI</t>
  </si>
  <si>
    <t>Wydział SO</t>
  </si>
  <si>
    <t>Ośrodek Pomocy Społecznej w Policach</t>
  </si>
  <si>
    <t>Gimnazjum nr 3 
w Policach</t>
  </si>
  <si>
    <t>Europejski Fundusz Rozwoju Regionalnego</t>
  </si>
  <si>
    <t>Poznaj sąsiada poprzez język</t>
  </si>
  <si>
    <t>Wydział OK.</t>
  </si>
  <si>
    <t>2010-2012</t>
  </si>
  <si>
    <t>Wydział PI / Gimnazjum nr 1
w Policach</t>
  </si>
  <si>
    <t>przedmiotowa z budżetu na wydatki bieżące</t>
  </si>
  <si>
    <t>85%
(2011-2012 - 50%)</t>
  </si>
  <si>
    <t>Rozbudowa transgranicznej infrastruktury turystycznej i sportów wodnych w Trzebieży</t>
  </si>
  <si>
    <t>DOTACJE CELOWE NA ZADANIA
REALIZOWANE PRZEZ PODMIOTY NIENALEŻĄCE 
DO SEKTORA FINANSÓW PUBLICZNYCH
W 2010 ROKU</t>
  </si>
  <si>
    <t>2009-2012</t>
  </si>
  <si>
    <t>SIP/Wydz. UA</t>
  </si>
  <si>
    <t>SIP/Wydział UA</t>
  </si>
  <si>
    <t>Rozbudowa Miejskiej Przystani Żeglarskiej 
w Policach przy ul. Konopnickiej 12</t>
  </si>
  <si>
    <t>Załącznik nr 1 
do uchwały nr XLVI/350/09
Rady Miejskiej w Policach 
z dnia 22.12.2009 r.</t>
  </si>
  <si>
    <t>Załącznik nr 2 
do uchwały nr XLVI/350/09
Rady Miejskiej w Policach 
z dnia 22.12.2009 r.</t>
  </si>
  <si>
    <t>Załącznik nr 3 
do uchwały nr XLVI/350/09
Rady Miejskiej w Policach 
z dnia 22.12.2009 r.</t>
  </si>
  <si>
    <t>do uchwały nr XLVI/350/09
Rady Miejskiej w Policach 
z dnia 22.12.2009 r.</t>
  </si>
  <si>
    <t xml:space="preserve">                              Załącznik nr 4 
                              do uchwały nr XLVI/350/09
                              Rady Miejskiej w Policach 
                              z dnia 22.12.2009 r.</t>
  </si>
  <si>
    <t>Załącznik nr 6 
do uchwały nr XLVI/350/09
Rady Miejskiej w Policach 
z dnia 22.12.2009 r.</t>
  </si>
  <si>
    <t xml:space="preserve">          Załącznik nr 7 
          do uchwały nr XLVI/350/09
          Rady Miejskiej w Policach 
          z dnia 22.12.2009 r.</t>
  </si>
  <si>
    <t xml:space="preserve">          Załącznik nr 8 
          do uchwały nr XLVI/350/09
          Rady Miejskiej w Policach 
          z dnia 22.12.2009 r.</t>
  </si>
  <si>
    <t xml:space="preserve">          Załącznik nr 9
          do uchwały nr XLVI/350/09
          Rady Miejskiej w Policach 
          z dnia 22.12.2009 r.</t>
  </si>
  <si>
    <t>Załącznik Nr 10
do uchwały nr XLVI/350/09
Rady Miejskiej w Policach 
z dnia 22.12.2009 r.</t>
  </si>
  <si>
    <t>Załącznik nr 11
do uchwały nr XLVI/350/09
Rady Miejskiej w Policach 
z dnia 22.12.2009 r.</t>
  </si>
  <si>
    <t>WYKAZ   WIELOLETNICH   PROGRAMÓW   INWESTYCYJNYCH   NA   LATA   2010 - 2014</t>
  </si>
  <si>
    <t xml:space="preserve">          Załącznik nr 12
          do uchwały nr XLVI/350/09
          Rady Miejskiej w Policach 
          z dnia 22.12.2009 r.</t>
  </si>
  <si>
    <t>Załącznik nr 13
do uchwały nr XLVI/350/09
Rady Miejskiej w Policach 
z dnia 22.12.2009 r.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</si>
</sst>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8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sz val="14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i/>
      <sz val="9"/>
      <name val="Arial CE"/>
      <family val="2"/>
    </font>
    <font>
      <b/>
      <sz val="16"/>
      <name val="Arial CE"/>
      <family val="0"/>
    </font>
    <font>
      <b/>
      <sz val="16"/>
      <color indexed="10"/>
      <name val="Arial CE"/>
      <family val="0"/>
    </font>
    <font>
      <sz val="9"/>
      <name val="Arial"/>
      <family val="2"/>
    </font>
    <font>
      <b/>
      <sz val="9"/>
      <color indexed="10"/>
      <name val="Arial CE"/>
      <family val="0"/>
    </font>
    <font>
      <sz val="11"/>
      <name val="Arial"/>
      <family val="2"/>
    </font>
    <font>
      <sz val="11"/>
      <color indexed="10"/>
      <name val="Arial CE"/>
      <family val="2"/>
    </font>
    <font>
      <b/>
      <sz val="20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 CE"/>
      <family val="0"/>
    </font>
    <font>
      <i/>
      <u val="single"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2"/>
    </font>
    <font>
      <sz val="9"/>
      <color indexed="13"/>
      <name val="Arial CE"/>
      <family val="2"/>
    </font>
    <font>
      <b/>
      <sz val="10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  <font>
      <sz val="10"/>
      <color rgb="FF00B050"/>
      <name val="Arial CE"/>
      <family val="2"/>
    </font>
    <font>
      <sz val="9"/>
      <color rgb="FFFFFF00"/>
      <name val="Arial CE"/>
      <family val="2"/>
    </font>
    <font>
      <b/>
      <sz val="10"/>
      <color rgb="FF00B05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6" fillId="27" borderId="1" applyNumberFormat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6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167" fontId="0" fillId="0" borderId="16" xfId="42" applyNumberFormat="1" applyFont="1" applyBorder="1" applyAlignment="1">
      <alignment horizontal="right" vertical="center" wrapText="1"/>
    </xf>
    <xf numFmtId="167" fontId="0" fillId="0" borderId="17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4" fillId="0" borderId="0" xfId="53" applyFont="1" applyAlignment="1">
      <alignment horizontal="left"/>
      <protection/>
    </xf>
    <xf numFmtId="167" fontId="10" fillId="0" borderId="29" xfId="53" applyNumberFormat="1" applyFont="1" applyBorder="1" applyAlignment="1">
      <alignment horizontal="right" vertical="center" wrapText="1"/>
      <protection/>
    </xf>
    <xf numFmtId="0" fontId="10" fillId="0" borderId="30" xfId="53" applyFont="1" applyBorder="1">
      <alignment/>
      <protection/>
    </xf>
    <xf numFmtId="0" fontId="10" fillId="0" borderId="15" xfId="53" applyFont="1" applyBorder="1">
      <alignment/>
      <protection/>
    </xf>
    <xf numFmtId="0" fontId="10" fillId="0" borderId="31" xfId="53" applyFont="1" applyFill="1" applyBorder="1">
      <alignment/>
      <protection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3" fontId="6" fillId="0" borderId="18" xfId="0" applyNumberFormat="1" applyFont="1" applyBorder="1" applyAlignment="1">
      <alignment horizontal="centerContinuous"/>
    </xf>
    <xf numFmtId="3" fontId="11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0" fillId="0" borderId="33" xfId="53" applyFont="1" applyBorder="1" applyAlignment="1">
      <alignment horizontal="center" vertical="top" wrapText="1"/>
      <protection/>
    </xf>
    <xf numFmtId="0" fontId="0" fillId="0" borderId="0" xfId="53" applyFont="1">
      <alignment/>
      <protection/>
    </xf>
    <xf numFmtId="0" fontId="10" fillId="0" borderId="0" xfId="53" applyFont="1">
      <alignment/>
      <protection/>
    </xf>
    <xf numFmtId="0" fontId="0" fillId="0" borderId="0" xfId="53" applyFont="1" applyAlignment="1">
      <alignment horizontal="right"/>
      <protection/>
    </xf>
    <xf numFmtId="167" fontId="10" fillId="0" borderId="34" xfId="53" applyNumberFormat="1" applyFont="1" applyBorder="1" applyAlignment="1">
      <alignment horizontal="right" vertical="center" wrapText="1"/>
      <protection/>
    </xf>
    <xf numFmtId="167" fontId="10" fillId="0" borderId="35" xfId="53" applyNumberFormat="1" applyFont="1" applyBorder="1" applyAlignment="1">
      <alignment horizontal="right" vertical="center" wrapText="1"/>
      <protection/>
    </xf>
    <xf numFmtId="167" fontId="0" fillId="0" borderId="0" xfId="53" applyNumberFormat="1" applyFont="1">
      <alignment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3" fontId="0" fillId="0" borderId="38" xfId="53" applyNumberFormat="1" applyFont="1" applyBorder="1" applyAlignment="1">
      <alignment horizontal="right" vertical="center" wrapText="1"/>
      <protection/>
    </xf>
    <xf numFmtId="167" fontId="0" fillId="0" borderId="16" xfId="53" applyNumberFormat="1" applyFont="1" applyBorder="1" applyAlignment="1">
      <alignment horizontal="right" vertical="center" wrapText="1"/>
      <protection/>
    </xf>
    <xf numFmtId="3" fontId="0" fillId="0" borderId="16" xfId="42" applyNumberFormat="1" applyFont="1" applyBorder="1" applyAlignment="1">
      <alignment horizontal="right" vertical="center" wrapText="1"/>
    </xf>
    <xf numFmtId="41" fontId="0" fillId="0" borderId="39" xfId="42" applyNumberFormat="1" applyFont="1" applyBorder="1" applyAlignment="1">
      <alignment horizontal="right" vertical="center" wrapText="1"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167" fontId="0" fillId="0" borderId="17" xfId="53" applyNumberFormat="1" applyFont="1" applyBorder="1" applyAlignment="1">
      <alignment horizontal="right" vertical="center" wrapText="1"/>
      <protection/>
    </xf>
    <xf numFmtId="41" fontId="0" fillId="0" borderId="42" xfId="53" applyNumberFormat="1" applyFont="1" applyBorder="1" applyAlignment="1">
      <alignment horizontal="right" vertical="center" wrapText="1"/>
      <protection/>
    </xf>
    <xf numFmtId="167" fontId="10" fillId="0" borderId="29" xfId="42" applyNumberFormat="1" applyFont="1" applyBorder="1" applyAlignment="1">
      <alignment horizontal="right" vertical="center" wrapText="1"/>
    </xf>
    <xf numFmtId="0" fontId="0" fillId="0" borderId="33" xfId="53" applyFont="1" applyBorder="1" applyAlignment="1">
      <alignment horizontal="center" vertical="top"/>
      <protection/>
    </xf>
    <xf numFmtId="0" fontId="0" fillId="0" borderId="0" xfId="53" applyFont="1" applyFill="1">
      <alignment/>
      <protection/>
    </xf>
    <xf numFmtId="0" fontId="0" fillId="0" borderId="43" xfId="53" applyFont="1" applyFill="1" applyBorder="1" applyAlignment="1">
      <alignment horizontal="center"/>
      <protection/>
    </xf>
    <xf numFmtId="0" fontId="10" fillId="0" borderId="43" xfId="53" applyFont="1" applyFill="1" applyBorder="1" applyAlignment="1">
      <alignment horizontal="center"/>
      <protection/>
    </xf>
    <xf numFmtId="0" fontId="10" fillId="0" borderId="44" xfId="53" applyFont="1" applyFill="1" applyBorder="1" applyAlignment="1">
      <alignment horizontal="center"/>
      <protection/>
    </xf>
    <xf numFmtId="3" fontId="10" fillId="0" borderId="45" xfId="53" applyNumberFormat="1" applyFont="1" applyFill="1" applyBorder="1" applyAlignment="1">
      <alignment horizontal="right" vertical="center" wrapText="1"/>
      <protection/>
    </xf>
    <xf numFmtId="167" fontId="10" fillId="0" borderId="29" xfId="53" applyNumberFormat="1" applyFont="1" applyFill="1" applyBorder="1" applyAlignment="1">
      <alignment horizontal="right" vertical="center" wrapText="1"/>
      <protection/>
    </xf>
    <xf numFmtId="167" fontId="10" fillId="0" borderId="29" xfId="42" applyNumberFormat="1" applyFont="1" applyFill="1" applyBorder="1" applyAlignment="1">
      <alignment horizontal="right" vertical="center" wrapText="1"/>
    </xf>
    <xf numFmtId="167" fontId="10" fillId="0" borderId="31" xfId="4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6" fillId="0" borderId="1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1" fillId="0" borderId="4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9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8" fillId="0" borderId="11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26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167" fontId="0" fillId="0" borderId="37" xfId="42" applyNumberFormat="1" applyFont="1" applyBorder="1" applyAlignment="1">
      <alignment horizontal="right" vertical="center" wrapText="1"/>
    </xf>
    <xf numFmtId="167" fontId="0" fillId="0" borderId="50" xfId="42" applyNumberFormat="1" applyFont="1" applyBorder="1" applyAlignment="1">
      <alignment horizontal="right" vertical="center" wrapText="1"/>
    </xf>
    <xf numFmtId="0" fontId="0" fillId="0" borderId="51" xfId="53" applyFont="1" applyBorder="1" applyAlignment="1">
      <alignment horizontal="center" vertical="top" wrapText="1"/>
      <protection/>
    </xf>
    <xf numFmtId="3" fontId="10" fillId="0" borderId="16" xfId="53" applyNumberFormat="1" applyFont="1" applyBorder="1" applyAlignment="1">
      <alignment horizontal="right"/>
      <protection/>
    </xf>
    <xf numFmtId="3" fontId="10" fillId="0" borderId="38" xfId="53" applyNumberFormat="1" applyFont="1" applyBorder="1" applyAlignment="1">
      <alignment horizontal="right"/>
      <protection/>
    </xf>
    <xf numFmtId="167" fontId="0" fillId="0" borderId="38" xfId="42" applyNumberFormat="1" applyFont="1" applyBorder="1" applyAlignment="1">
      <alignment horizontal="right" vertical="center" wrapText="1"/>
    </xf>
    <xf numFmtId="167" fontId="0" fillId="0" borderId="52" xfId="42" applyNumberFormat="1" applyFont="1" applyBorder="1" applyAlignment="1">
      <alignment horizontal="right" vertical="center" wrapText="1"/>
    </xf>
    <xf numFmtId="3" fontId="10" fillId="0" borderId="34" xfId="53" applyNumberFormat="1" applyFont="1" applyBorder="1" applyAlignment="1">
      <alignment horizontal="right"/>
      <protection/>
    </xf>
    <xf numFmtId="167" fontId="0" fillId="0" borderId="53" xfId="42" applyNumberFormat="1" applyFont="1" applyBorder="1" applyAlignment="1">
      <alignment horizontal="right" vertical="center" wrapText="1"/>
    </xf>
    <xf numFmtId="3" fontId="10" fillId="0" borderId="25" xfId="53" applyNumberFormat="1" applyFont="1" applyBorder="1" applyAlignment="1">
      <alignment horizontal="right"/>
      <protection/>
    </xf>
    <xf numFmtId="3" fontId="10" fillId="0" borderId="16" xfId="53" applyNumberFormat="1" applyFont="1" applyBorder="1" applyAlignment="1">
      <alignment horizontal="right" vertical="center" wrapText="1"/>
      <protection/>
    </xf>
    <xf numFmtId="167" fontId="0" fillId="0" borderId="19" xfId="42" applyNumberFormat="1" applyFont="1" applyBorder="1" applyAlignment="1">
      <alignment horizontal="right" vertical="center" wrapText="1"/>
    </xf>
    <xf numFmtId="167" fontId="10" fillId="0" borderId="54" xfId="53" applyNumberFormat="1" applyFont="1" applyBorder="1" applyAlignment="1">
      <alignment horizontal="right" vertical="center" wrapText="1"/>
      <protection/>
    </xf>
    <xf numFmtId="167" fontId="0" fillId="0" borderId="14" xfId="42" applyNumberFormat="1" applyFont="1" applyBorder="1" applyAlignment="1">
      <alignment horizontal="right" vertical="center" wrapText="1"/>
    </xf>
    <xf numFmtId="3" fontId="10" fillId="0" borderId="55" xfId="53" applyNumberFormat="1" applyFont="1" applyBorder="1" applyAlignment="1">
      <alignment horizontal="right" vertical="center" wrapText="1"/>
      <protection/>
    </xf>
    <xf numFmtId="167" fontId="10" fillId="0" borderId="56" xfId="53" applyNumberFormat="1" applyFont="1" applyBorder="1" applyAlignment="1">
      <alignment horizontal="right" vertical="center" wrapText="1"/>
      <protection/>
    </xf>
    <xf numFmtId="3" fontId="0" fillId="0" borderId="57" xfId="53" applyNumberFormat="1" applyFont="1" applyBorder="1" applyAlignment="1">
      <alignment horizontal="right" vertical="center" wrapText="1"/>
      <protection/>
    </xf>
    <xf numFmtId="3" fontId="0" fillId="0" borderId="58" xfId="53" applyNumberFormat="1" applyFont="1" applyBorder="1" applyAlignment="1">
      <alignment horizontal="right" vertical="center" wrapText="1"/>
      <protection/>
    </xf>
    <xf numFmtId="3" fontId="10" fillId="0" borderId="59" xfId="53" applyNumberFormat="1" applyFont="1" applyBorder="1" applyAlignment="1">
      <alignment horizontal="right"/>
      <protection/>
    </xf>
    <xf numFmtId="167" fontId="0" fillId="0" borderId="12" xfId="42" applyNumberFormat="1" applyFont="1" applyBorder="1" applyAlignment="1">
      <alignment horizontal="right" vertical="center" wrapText="1"/>
    </xf>
    <xf numFmtId="3" fontId="10" fillId="0" borderId="54" xfId="53" applyNumberFormat="1" applyFont="1" applyBorder="1" applyAlignment="1">
      <alignment horizontal="right"/>
      <protection/>
    </xf>
    <xf numFmtId="167" fontId="0" fillId="0" borderId="30" xfId="42" applyNumberFormat="1" applyFont="1" applyBorder="1" applyAlignment="1">
      <alignment horizontal="right" vertical="center" wrapText="1"/>
    </xf>
    <xf numFmtId="167" fontId="0" fillId="0" borderId="59" xfId="42" applyNumberFormat="1" applyFont="1" applyBorder="1" applyAlignment="1">
      <alignment horizontal="right" vertical="center" wrapText="1"/>
    </xf>
    <xf numFmtId="0" fontId="0" fillId="0" borderId="60" xfId="53" applyFont="1" applyBorder="1" applyAlignment="1">
      <alignment horizontal="center" vertical="center" wrapText="1"/>
      <protection/>
    </xf>
    <xf numFmtId="0" fontId="0" fillId="0" borderId="61" xfId="53" applyFont="1" applyBorder="1" applyAlignment="1">
      <alignment horizontal="center" vertical="center" wrapText="1"/>
      <protection/>
    </xf>
    <xf numFmtId="3" fontId="0" fillId="0" borderId="57" xfId="53" applyNumberFormat="1" applyFont="1" applyBorder="1" applyAlignment="1">
      <alignment horizontal="right"/>
      <protection/>
    </xf>
    <xf numFmtId="3" fontId="10" fillId="0" borderId="48" xfId="53" applyNumberFormat="1" applyFont="1" applyBorder="1" applyAlignment="1">
      <alignment horizontal="right"/>
      <protection/>
    </xf>
    <xf numFmtId="41" fontId="10" fillId="0" borderId="62" xfId="53" applyNumberFormat="1" applyFont="1" applyBorder="1" applyAlignment="1">
      <alignment horizontal="right" vertical="center" wrapText="1"/>
      <protection/>
    </xf>
    <xf numFmtId="3" fontId="10" fillId="0" borderId="57" xfId="53" applyNumberFormat="1" applyFont="1" applyBorder="1" applyAlignment="1">
      <alignment horizontal="right"/>
      <protection/>
    </xf>
    <xf numFmtId="41" fontId="10" fillId="0" borderId="39" xfId="53" applyNumberFormat="1" applyFont="1" applyBorder="1" applyAlignment="1">
      <alignment horizontal="right" vertical="center" wrapText="1"/>
      <protection/>
    </xf>
    <xf numFmtId="0" fontId="0" fillId="0" borderId="36" xfId="53" applyFont="1" applyBorder="1" applyAlignment="1">
      <alignment horizontal="center"/>
      <protection/>
    </xf>
    <xf numFmtId="0" fontId="0" fillId="0" borderId="37" xfId="53" applyFont="1" applyBorder="1" applyAlignment="1">
      <alignment horizontal="center"/>
      <protection/>
    </xf>
    <xf numFmtId="0" fontId="0" fillId="0" borderId="40" xfId="53" applyFont="1" applyBorder="1" applyAlignment="1">
      <alignment horizontal="center"/>
      <protection/>
    </xf>
    <xf numFmtId="0" fontId="0" fillId="0" borderId="50" xfId="53" applyFont="1" applyBorder="1" applyAlignment="1">
      <alignment horizontal="center"/>
      <protection/>
    </xf>
    <xf numFmtId="3" fontId="10" fillId="0" borderId="38" xfId="53" applyNumberFormat="1" applyFont="1" applyBorder="1" applyAlignment="1">
      <alignment horizontal="right" vertical="center" wrapText="1"/>
      <protection/>
    </xf>
    <xf numFmtId="3" fontId="10" fillId="0" borderId="53" xfId="53" applyNumberFormat="1" applyFont="1" applyBorder="1" applyAlignment="1">
      <alignment horizontal="right" vertical="center" wrapText="1"/>
      <protection/>
    </xf>
    <xf numFmtId="3" fontId="10" fillId="0" borderId="57" xfId="53" applyNumberFormat="1" applyFont="1" applyBorder="1" applyAlignment="1">
      <alignment horizontal="right" vertical="center" wrapText="1"/>
      <protection/>
    </xf>
    <xf numFmtId="3" fontId="10" fillId="0" borderId="59" xfId="53" applyNumberFormat="1" applyFont="1" applyBorder="1" applyAlignment="1">
      <alignment horizontal="right" vertical="center" wrapText="1"/>
      <protection/>
    </xf>
    <xf numFmtId="3" fontId="10" fillId="0" borderId="48" xfId="53" applyNumberFormat="1" applyFont="1" applyBorder="1" applyAlignment="1">
      <alignment horizontal="right" vertical="center" wrapText="1"/>
      <protection/>
    </xf>
    <xf numFmtId="41" fontId="10" fillId="0" borderId="56" xfId="53" applyNumberFormat="1" applyFont="1" applyBorder="1" applyAlignment="1">
      <alignment horizontal="right" vertical="center" wrapText="1"/>
      <protection/>
    </xf>
    <xf numFmtId="3" fontId="10" fillId="0" borderId="56" xfId="53" applyNumberFormat="1" applyFont="1" applyBorder="1" applyAlignment="1">
      <alignment horizontal="right"/>
      <protection/>
    </xf>
    <xf numFmtId="3" fontId="10" fillId="0" borderId="46" xfId="53" applyNumberFormat="1" applyFont="1" applyBorder="1" applyAlignment="1">
      <alignment horizontal="right"/>
      <protection/>
    </xf>
    <xf numFmtId="3" fontId="10" fillId="0" borderId="37" xfId="53" applyNumberFormat="1" applyFont="1" applyBorder="1" applyAlignment="1">
      <alignment horizontal="right"/>
      <protection/>
    </xf>
    <xf numFmtId="167" fontId="0" fillId="0" borderId="26" xfId="42" applyNumberFormat="1" applyFont="1" applyBorder="1" applyAlignment="1">
      <alignment horizontal="right" vertical="center" wrapText="1"/>
    </xf>
    <xf numFmtId="3" fontId="0" fillId="0" borderId="38" xfId="53" applyNumberFormat="1" applyFont="1" applyBorder="1" applyAlignment="1">
      <alignment horizontal="right"/>
      <protection/>
    </xf>
    <xf numFmtId="3" fontId="0" fillId="0" borderId="26" xfId="42" applyNumberFormat="1" applyFont="1" applyBorder="1" applyAlignment="1">
      <alignment horizontal="right" vertical="center" wrapText="1"/>
    </xf>
    <xf numFmtId="41" fontId="0" fillId="0" borderId="42" xfId="42" applyNumberFormat="1" applyFont="1" applyBorder="1" applyAlignment="1">
      <alignment horizontal="right" vertical="center" wrapText="1"/>
    </xf>
    <xf numFmtId="41" fontId="0" fillId="0" borderId="41" xfId="42" applyNumberFormat="1" applyFont="1" applyBorder="1" applyAlignment="1">
      <alignment horizontal="right" vertical="center" wrapText="1"/>
    </xf>
    <xf numFmtId="167" fontId="0" fillId="0" borderId="10" xfId="42" applyNumberFormat="1" applyFont="1" applyBorder="1" applyAlignment="1">
      <alignment horizontal="right" vertical="center" wrapText="1"/>
    </xf>
    <xf numFmtId="0" fontId="0" fillId="0" borderId="11" xfId="53" applyFont="1" applyBorder="1" applyAlignment="1">
      <alignment horizontal="center" vertical="top" wrapText="1"/>
      <protection/>
    </xf>
    <xf numFmtId="0" fontId="10" fillId="0" borderId="57" xfId="53" applyFont="1" applyBorder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 vertical="top"/>
      <protection/>
    </xf>
    <xf numFmtId="3" fontId="10" fillId="0" borderId="62" xfId="53" applyNumberFormat="1" applyFont="1" applyBorder="1" applyAlignment="1">
      <alignment horizontal="right"/>
      <protection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centerContinuous"/>
    </xf>
    <xf numFmtId="3" fontId="4" fillId="0" borderId="3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3" fontId="0" fillId="0" borderId="63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64" xfId="53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51" xfId="53" applyFont="1" applyBorder="1" applyAlignment="1">
      <alignment horizontal="center"/>
      <protection/>
    </xf>
    <xf numFmtId="167" fontId="0" fillId="0" borderId="25" xfId="42" applyNumberFormat="1" applyFont="1" applyBorder="1" applyAlignment="1">
      <alignment horizontal="right" vertical="center" wrapText="1"/>
    </xf>
    <xf numFmtId="167" fontId="0" fillId="0" borderId="46" xfId="42" applyNumberFormat="1" applyFont="1" applyBorder="1" applyAlignment="1">
      <alignment horizontal="right" vertical="center" wrapText="1"/>
    </xf>
    <xf numFmtId="41" fontId="0" fillId="0" borderId="62" xfId="42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33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vertical="center" wrapText="1"/>
    </xf>
    <xf numFmtId="170" fontId="21" fillId="0" borderId="18" xfId="0" applyNumberFormat="1" applyFont="1" applyBorder="1" applyAlignment="1">
      <alignment horizontal="right" vertical="center" wrapText="1"/>
    </xf>
    <xf numFmtId="0" fontId="5" fillId="0" borderId="65" xfId="0" applyFont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0" fontId="7" fillId="0" borderId="59" xfId="0" applyFont="1" applyBorder="1" applyAlignment="1">
      <alignment vertical="center"/>
    </xf>
    <xf numFmtId="0" fontId="7" fillId="0" borderId="59" xfId="0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170" fontId="20" fillId="33" borderId="44" xfId="0" applyNumberFormat="1" applyFont="1" applyFill="1" applyBorder="1" applyAlignment="1">
      <alignment vertical="center" wrapText="1"/>
    </xf>
    <xf numFmtId="0" fontId="7" fillId="33" borderId="43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center" wrapText="1"/>
    </xf>
    <xf numFmtId="170" fontId="7" fillId="33" borderId="44" xfId="0" applyNumberFormat="1" applyFont="1" applyFill="1" applyBorder="1" applyAlignment="1">
      <alignment vertical="center" wrapText="1"/>
    </xf>
    <xf numFmtId="0" fontId="7" fillId="33" borderId="43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vertical="center" wrapText="1"/>
    </xf>
    <xf numFmtId="167" fontId="0" fillId="0" borderId="16" xfId="42" applyNumberFormat="1" applyFont="1" applyFill="1" applyBorder="1" applyAlignment="1">
      <alignment horizontal="right" vertical="center" wrapText="1"/>
    </xf>
    <xf numFmtId="167" fontId="0" fillId="0" borderId="38" xfId="4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167" fontId="0" fillId="0" borderId="37" xfId="42" applyNumberFormat="1" applyFont="1" applyFill="1" applyBorder="1" applyAlignment="1">
      <alignment horizontal="right" vertical="center" wrapText="1"/>
    </xf>
    <xf numFmtId="0" fontId="0" fillId="0" borderId="36" xfId="53" applyFont="1" applyFill="1" applyBorder="1" applyAlignment="1">
      <alignment horizontal="center"/>
      <protection/>
    </xf>
    <xf numFmtId="0" fontId="0" fillId="0" borderId="37" xfId="53" applyFont="1" applyFill="1" applyBorder="1" applyAlignment="1">
      <alignment horizontal="center"/>
      <protection/>
    </xf>
    <xf numFmtId="167" fontId="0" fillId="0" borderId="16" xfId="53" applyNumberFormat="1" applyFont="1" applyFill="1" applyBorder="1" applyAlignment="1">
      <alignment horizontal="right" vertical="center" wrapText="1"/>
      <protection/>
    </xf>
    <xf numFmtId="41" fontId="0" fillId="0" borderId="39" xfId="42" applyNumberFormat="1" applyFont="1" applyFill="1" applyBorder="1" applyAlignment="1">
      <alignment horizontal="right" vertical="center" wrapText="1"/>
    </xf>
    <xf numFmtId="3" fontId="0" fillId="0" borderId="38" xfId="53" applyNumberFormat="1" applyFont="1" applyFill="1" applyBorder="1" applyAlignment="1">
      <alignment horizontal="right"/>
      <protection/>
    </xf>
    <xf numFmtId="167" fontId="0" fillId="0" borderId="53" xfId="42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3" fontId="4" fillId="0" borderId="27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/>
    </xf>
    <xf numFmtId="3" fontId="11" fillId="0" borderId="64" xfId="0" applyNumberFormat="1" applyFont="1" applyBorder="1" applyAlignment="1">
      <alignment horizontal="right" vertical="center"/>
    </xf>
    <xf numFmtId="3" fontId="10" fillId="0" borderId="34" xfId="42" applyNumberFormat="1" applyFont="1" applyBorder="1" applyAlignment="1">
      <alignment horizontal="right" vertical="center" wrapText="1"/>
    </xf>
    <xf numFmtId="41" fontId="10" fillId="0" borderId="56" xfId="42" applyNumberFormat="1" applyFont="1" applyBorder="1" applyAlignment="1">
      <alignment horizontal="right" vertical="center" wrapText="1"/>
    </xf>
    <xf numFmtId="167" fontId="0" fillId="0" borderId="68" xfId="42" applyNumberFormat="1" applyFont="1" applyBorder="1" applyAlignment="1">
      <alignment horizontal="right" vertical="center" wrapText="1"/>
    </xf>
    <xf numFmtId="41" fontId="0" fillId="0" borderId="57" xfId="53" applyNumberFormat="1" applyFont="1" applyBorder="1" applyAlignment="1">
      <alignment horizontal="right" vertical="center" wrapText="1"/>
      <protection/>
    </xf>
    <xf numFmtId="41" fontId="0" fillId="0" borderId="49" xfId="53" applyNumberFormat="1" applyFont="1" applyBorder="1" applyAlignment="1">
      <alignment horizontal="right" vertical="center" wrapText="1"/>
      <protection/>
    </xf>
    <xf numFmtId="3" fontId="0" fillId="0" borderId="24" xfId="42" applyNumberFormat="1" applyFont="1" applyBorder="1" applyAlignment="1">
      <alignment horizontal="right" vertical="center" wrapText="1"/>
    </xf>
    <xf numFmtId="41" fontId="0" fillId="0" borderId="69" xfId="42" applyNumberFormat="1" applyFont="1" applyBorder="1" applyAlignment="1">
      <alignment horizontal="right" vertical="center" wrapText="1"/>
    </xf>
    <xf numFmtId="3" fontId="10" fillId="0" borderId="53" xfId="53" applyNumberFormat="1" applyFont="1" applyBorder="1" applyAlignment="1">
      <alignment horizontal="right"/>
      <protection/>
    </xf>
    <xf numFmtId="167" fontId="0" fillId="0" borderId="36" xfId="42" applyNumberFormat="1" applyFont="1" applyBorder="1" applyAlignment="1">
      <alignment horizontal="right" vertical="center" wrapText="1"/>
    </xf>
    <xf numFmtId="41" fontId="0" fillId="0" borderId="38" xfId="53" applyNumberFormat="1" applyFont="1" applyBorder="1" applyAlignment="1">
      <alignment horizontal="right" vertical="center" wrapText="1"/>
      <protection/>
    </xf>
    <xf numFmtId="41" fontId="0" fillId="0" borderId="66" xfId="53" applyNumberFormat="1" applyFont="1" applyBorder="1" applyAlignment="1">
      <alignment horizontal="right" vertical="center" wrapText="1"/>
      <protection/>
    </xf>
    <xf numFmtId="41" fontId="0" fillId="0" borderId="16" xfId="53" applyNumberFormat="1" applyFont="1" applyBorder="1" applyAlignment="1">
      <alignment horizontal="right" vertical="center" wrapText="1"/>
      <protection/>
    </xf>
    <xf numFmtId="41" fontId="0" fillId="0" borderId="24" xfId="53" applyNumberFormat="1" applyFont="1" applyBorder="1" applyAlignment="1">
      <alignment horizontal="right" vertical="center" wrapText="1"/>
      <protection/>
    </xf>
    <xf numFmtId="167" fontId="0" fillId="0" borderId="70" xfId="42" applyNumberFormat="1" applyFont="1" applyBorder="1" applyAlignment="1">
      <alignment horizontal="right" vertical="center" wrapText="1"/>
    </xf>
    <xf numFmtId="167" fontId="0" fillId="0" borderId="40" xfId="42" applyNumberFormat="1" applyFont="1" applyBorder="1" applyAlignment="1">
      <alignment horizontal="right" vertical="center" wrapText="1"/>
    </xf>
    <xf numFmtId="3" fontId="10" fillId="0" borderId="35" xfId="53" applyNumberFormat="1" applyFont="1" applyBorder="1" applyAlignment="1">
      <alignment horizontal="right"/>
      <protection/>
    </xf>
    <xf numFmtId="41" fontId="0" fillId="0" borderId="36" xfId="53" applyNumberFormat="1" applyFont="1" applyBorder="1" applyAlignment="1">
      <alignment horizontal="right" vertical="center" wrapText="1"/>
      <protection/>
    </xf>
    <xf numFmtId="41" fontId="0" fillId="0" borderId="58" xfId="53" applyNumberFormat="1" applyFont="1" applyBorder="1" applyAlignment="1">
      <alignment horizontal="right" vertical="center" wrapText="1"/>
      <protection/>
    </xf>
    <xf numFmtId="41" fontId="0" fillId="0" borderId="52" xfId="53" applyNumberFormat="1" applyFont="1" applyBorder="1" applyAlignment="1">
      <alignment horizontal="right" vertical="center" wrapText="1"/>
      <protection/>
    </xf>
    <xf numFmtId="41" fontId="0" fillId="0" borderId="40" xfId="53" applyNumberFormat="1" applyFont="1" applyBorder="1" applyAlignment="1">
      <alignment horizontal="right" vertical="center" wrapText="1"/>
      <protection/>
    </xf>
    <xf numFmtId="41" fontId="0" fillId="0" borderId="0" xfId="53" applyNumberFormat="1" applyFont="1" applyBorder="1" applyAlignment="1">
      <alignment horizontal="right" vertical="center" wrapText="1"/>
      <protection/>
    </xf>
    <xf numFmtId="167" fontId="0" fillId="0" borderId="63" xfId="42" applyNumberFormat="1" applyFont="1" applyBorder="1" applyAlignment="1">
      <alignment horizontal="right" vertical="center" wrapText="1"/>
    </xf>
    <xf numFmtId="167" fontId="10" fillId="0" borderId="71" xfId="42" applyNumberFormat="1" applyFont="1" applyFill="1" applyBorder="1" applyAlignment="1">
      <alignment horizontal="right" vertical="center" wrapText="1"/>
    </xf>
    <xf numFmtId="3" fontId="0" fillId="0" borderId="32" xfId="0" applyNumberFormat="1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3" fontId="0" fillId="0" borderId="73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ont="1" applyBorder="1" applyAlignment="1">
      <alignment/>
    </xf>
    <xf numFmtId="3" fontId="10" fillId="0" borderId="30" xfId="53" applyNumberFormat="1" applyFont="1" applyBorder="1" applyAlignment="1">
      <alignment horizontal="right" vertical="center" wrapText="1"/>
      <protection/>
    </xf>
    <xf numFmtId="3" fontId="10" fillId="0" borderId="39" xfId="53" applyNumberFormat="1" applyFont="1" applyBorder="1" applyAlignment="1">
      <alignment horizontal="right" vertical="center" wrapText="1"/>
      <protection/>
    </xf>
    <xf numFmtId="3" fontId="10" fillId="0" borderId="25" xfId="53" applyNumberFormat="1" applyFont="1" applyBorder="1" applyAlignment="1">
      <alignment horizontal="right" vertical="center" wrapText="1"/>
      <protection/>
    </xf>
    <xf numFmtId="3" fontId="10" fillId="0" borderId="74" xfId="53" applyNumberFormat="1" applyFont="1" applyBorder="1" applyAlignment="1">
      <alignment horizontal="right" vertical="center" wrapText="1"/>
      <protection/>
    </xf>
    <xf numFmtId="3" fontId="10" fillId="0" borderId="62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25" xfId="0" applyFont="1" applyBorder="1" applyAlignment="1">
      <alignment vertical="top" wrapText="1"/>
    </xf>
    <xf numFmtId="0" fontId="10" fillId="0" borderId="25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4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3" fontId="4" fillId="0" borderId="6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32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Continuous"/>
    </xf>
    <xf numFmtId="0" fontId="1" fillId="0" borderId="47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12" fillId="0" borderId="0" xfId="53" applyFont="1" applyAlignment="1">
      <alignment horizontal="right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7" fillId="0" borderId="0" xfId="0" applyFont="1" applyAlignment="1">
      <alignment/>
    </xf>
    <xf numFmtId="49" fontId="4" fillId="0" borderId="7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77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7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7" xfId="0" applyFont="1" applyBorder="1" applyAlignment="1">
      <alignment horizont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34" borderId="53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10" fillId="33" borderId="46" xfId="53" applyFont="1" applyFill="1" applyBorder="1" applyAlignment="1">
      <alignment horizontal="center" vertical="center" wrapText="1"/>
      <protection/>
    </xf>
    <xf numFmtId="0" fontId="10" fillId="33" borderId="34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67" fontId="0" fillId="0" borderId="0" xfId="42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/>
    </xf>
    <xf numFmtId="0" fontId="5" fillId="0" borderId="59" xfId="52" applyFont="1" applyBorder="1" applyAlignment="1">
      <alignment vertical="center" wrapText="1"/>
      <protection/>
    </xf>
    <xf numFmtId="0" fontId="5" fillId="0" borderId="30" xfId="52" applyFont="1" applyBorder="1" applyAlignment="1">
      <alignment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 wrapText="1"/>
    </xf>
    <xf numFmtId="3" fontId="7" fillId="33" borderId="79" xfId="0" applyNumberFormat="1" applyFont="1" applyFill="1" applyBorder="1" applyAlignment="1">
      <alignment vertical="center" wrapText="1"/>
    </xf>
    <xf numFmtId="0" fontId="5" fillId="33" borderId="54" xfId="52" applyFont="1" applyFill="1" applyBorder="1" applyAlignment="1">
      <alignment vertical="center" wrapText="1"/>
      <protection/>
    </xf>
    <xf numFmtId="0" fontId="5" fillId="33" borderId="52" xfId="52" applyFont="1" applyFill="1" applyBorder="1" applyAlignment="1">
      <alignment vertical="center" wrapText="1"/>
      <protection/>
    </xf>
    <xf numFmtId="3" fontId="7" fillId="33" borderId="64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80" xfId="53" applyFont="1" applyFill="1" applyBorder="1" applyAlignment="1">
      <alignment horizontal="center" vertical="center" wrapText="1"/>
      <protection/>
    </xf>
    <xf numFmtId="0" fontId="10" fillId="33" borderId="79" xfId="53" applyFont="1" applyFill="1" applyBorder="1" applyAlignment="1">
      <alignment horizontal="center" vertical="center" wrapText="1"/>
      <protection/>
    </xf>
    <xf numFmtId="0" fontId="10" fillId="33" borderId="65" xfId="53" applyFont="1" applyFill="1" applyBorder="1" applyAlignment="1">
      <alignment horizontal="center" vertical="center" wrapText="1"/>
      <protection/>
    </xf>
    <xf numFmtId="0" fontId="10" fillId="33" borderId="55" xfId="53" applyFont="1" applyFill="1" applyBorder="1" applyAlignment="1">
      <alignment horizontal="left" vertical="center" wrapText="1"/>
      <protection/>
    </xf>
    <xf numFmtId="167" fontId="10" fillId="33" borderId="34" xfId="53" applyNumberFormat="1" applyFont="1" applyFill="1" applyBorder="1" applyAlignment="1">
      <alignment horizontal="right" vertical="center" wrapText="1"/>
      <protection/>
    </xf>
    <xf numFmtId="0" fontId="0" fillId="33" borderId="11" xfId="53" applyFont="1" applyFill="1" applyBorder="1" applyAlignment="1">
      <alignment horizontal="center" vertical="top" wrapText="1"/>
      <protection/>
    </xf>
    <xf numFmtId="3" fontId="10" fillId="33" borderId="36" xfId="53" applyNumberFormat="1" applyFont="1" applyFill="1" applyBorder="1" applyAlignment="1">
      <alignment horizontal="right" vertical="center" wrapText="1"/>
      <protection/>
    </xf>
    <xf numFmtId="167" fontId="10" fillId="33" borderId="25" xfId="53" applyNumberFormat="1" applyFont="1" applyFill="1" applyBorder="1" applyAlignment="1">
      <alignment horizontal="right" vertical="center" wrapText="1"/>
      <protection/>
    </xf>
    <xf numFmtId="167" fontId="10" fillId="33" borderId="38" xfId="53" applyNumberFormat="1" applyFont="1" applyFill="1" applyBorder="1" applyAlignment="1">
      <alignment horizontal="right" vertical="center" wrapText="1"/>
      <protection/>
    </xf>
    <xf numFmtId="167" fontId="10" fillId="33" borderId="16" xfId="53" applyNumberFormat="1" applyFont="1" applyFill="1" applyBorder="1" applyAlignment="1">
      <alignment horizontal="right" vertical="center" wrapText="1"/>
      <protection/>
    </xf>
    <xf numFmtId="167" fontId="10" fillId="33" borderId="30" xfId="53" applyNumberFormat="1" applyFont="1" applyFill="1" applyBorder="1" applyAlignment="1">
      <alignment horizontal="right" vertical="center" wrapText="1"/>
      <protection/>
    </xf>
    <xf numFmtId="167" fontId="10" fillId="33" borderId="57" xfId="53" applyNumberFormat="1" applyFont="1" applyFill="1" applyBorder="1" applyAlignment="1">
      <alignment horizontal="right" vertical="center" wrapText="1"/>
      <protection/>
    </xf>
    <xf numFmtId="167" fontId="10" fillId="33" borderId="39" xfId="53" applyNumberFormat="1" applyFont="1" applyFill="1" applyBorder="1" applyAlignment="1">
      <alignment horizontal="right" vertical="center" wrapText="1"/>
      <protection/>
    </xf>
    <xf numFmtId="167" fontId="10" fillId="33" borderId="53" xfId="53" applyNumberFormat="1" applyFont="1" applyFill="1" applyBorder="1" applyAlignment="1">
      <alignment horizontal="right" vertical="center" wrapText="1"/>
      <protection/>
    </xf>
    <xf numFmtId="167" fontId="10" fillId="33" borderId="74" xfId="53" applyNumberFormat="1" applyFont="1" applyFill="1" applyBorder="1" applyAlignment="1">
      <alignment horizontal="right" vertical="center" wrapText="1"/>
      <protection/>
    </xf>
    <xf numFmtId="167" fontId="10" fillId="33" borderId="59" xfId="53" applyNumberFormat="1" applyFont="1" applyFill="1" applyBorder="1" applyAlignment="1">
      <alignment horizontal="right" vertical="center" wrapText="1"/>
      <protection/>
    </xf>
    <xf numFmtId="167" fontId="10" fillId="33" borderId="15" xfId="53" applyNumberFormat="1" applyFont="1" applyFill="1" applyBorder="1" applyAlignment="1">
      <alignment horizontal="right" vertical="center" wrapText="1"/>
      <protection/>
    </xf>
    <xf numFmtId="167" fontId="10" fillId="33" borderId="48" xfId="53" applyNumberFormat="1" applyFont="1" applyFill="1" applyBorder="1" applyAlignment="1">
      <alignment horizontal="right" vertical="center" wrapText="1"/>
      <protection/>
    </xf>
    <xf numFmtId="41" fontId="10" fillId="33" borderId="62" xfId="53" applyNumberFormat="1" applyFont="1" applyFill="1" applyBorder="1" applyAlignment="1">
      <alignment horizontal="right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167" fontId="10" fillId="33" borderId="65" xfId="53" applyNumberFormat="1" applyFont="1" applyFill="1" applyBorder="1" applyAlignment="1">
      <alignment horizontal="right" vertical="center" wrapText="1"/>
      <protection/>
    </xf>
    <xf numFmtId="167" fontId="10" fillId="33" borderId="62" xfId="53" applyNumberFormat="1" applyFont="1" applyFill="1" applyBorder="1" applyAlignment="1">
      <alignment horizontal="right" vertical="center" wrapText="1"/>
      <protection/>
    </xf>
    <xf numFmtId="0" fontId="10" fillId="33" borderId="15" xfId="53" applyFont="1" applyFill="1" applyBorder="1">
      <alignment/>
      <protection/>
    </xf>
    <xf numFmtId="0" fontId="10" fillId="33" borderId="65" xfId="53" applyFont="1" applyFill="1" applyBorder="1" applyAlignment="1">
      <alignment horizontal="center"/>
      <protection/>
    </xf>
    <xf numFmtId="0" fontId="10" fillId="33" borderId="46" xfId="53" applyFont="1" applyFill="1" applyBorder="1" applyAlignment="1">
      <alignment horizontal="center"/>
      <protection/>
    </xf>
    <xf numFmtId="3" fontId="10" fillId="33" borderId="25" xfId="53" applyNumberFormat="1" applyFont="1" applyFill="1" applyBorder="1" applyAlignment="1">
      <alignment horizontal="right" vertical="center" wrapText="1"/>
      <protection/>
    </xf>
    <xf numFmtId="3" fontId="10" fillId="33" borderId="16" xfId="53" applyNumberFormat="1" applyFont="1" applyFill="1" applyBorder="1" applyAlignment="1">
      <alignment horizontal="right" vertical="center" wrapText="1"/>
      <protection/>
    </xf>
    <xf numFmtId="41" fontId="10" fillId="33" borderId="39" xfId="53" applyNumberFormat="1" applyFont="1" applyFill="1" applyBorder="1" applyAlignment="1">
      <alignment horizontal="right" vertical="center" wrapText="1"/>
      <protection/>
    </xf>
    <xf numFmtId="0" fontId="10" fillId="33" borderId="81" xfId="53" applyFont="1" applyFill="1" applyBorder="1" applyAlignment="1">
      <alignment horizontal="left" vertical="top"/>
      <protection/>
    </xf>
    <xf numFmtId="0" fontId="10" fillId="33" borderId="80" xfId="53" applyFont="1" applyFill="1" applyBorder="1" applyAlignment="1">
      <alignment horizontal="center"/>
      <protection/>
    </xf>
    <xf numFmtId="0" fontId="10" fillId="33" borderId="33" xfId="53" applyFont="1" applyFill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horizontal="center" vertical="top"/>
      <protection/>
    </xf>
    <xf numFmtId="0" fontId="8" fillId="33" borderId="5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Continuous"/>
    </xf>
    <xf numFmtId="0" fontId="8" fillId="33" borderId="64" xfId="0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3" fontId="8" fillId="33" borderId="8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6" xfId="53" applyFont="1" applyFill="1" applyBorder="1" applyAlignment="1">
      <alignment horizontal="center" vertical="center" wrapText="1"/>
      <protection/>
    </xf>
    <xf numFmtId="0" fontId="8" fillId="33" borderId="42" xfId="53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Continuous"/>
    </xf>
    <xf numFmtId="0" fontId="0" fillId="33" borderId="58" xfId="0" applyFont="1" applyFill="1" applyBorder="1" applyAlignment="1">
      <alignment horizontal="centerContinuous"/>
    </xf>
    <xf numFmtId="0" fontId="0" fillId="33" borderId="82" xfId="0" applyFont="1" applyFill="1" applyBorder="1" applyAlignment="1">
      <alignment horizontal="centerContinuous"/>
    </xf>
    <xf numFmtId="0" fontId="0" fillId="33" borderId="50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62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0" fillId="0" borderId="83" xfId="53" applyFont="1" applyBorder="1" applyAlignment="1">
      <alignment horizontal="center" vertical="top" wrapText="1"/>
      <protection/>
    </xf>
    <xf numFmtId="0" fontId="10" fillId="0" borderId="83" xfId="53" applyFont="1" applyBorder="1" applyAlignment="1">
      <alignment horizontal="left" vertical="center" wrapText="1"/>
      <protection/>
    </xf>
    <xf numFmtId="0" fontId="10" fillId="0" borderId="43" xfId="53" applyFont="1" applyBorder="1" applyAlignment="1">
      <alignment horizontal="center" vertical="center" wrapText="1"/>
      <protection/>
    </xf>
    <xf numFmtId="0" fontId="10" fillId="0" borderId="44" xfId="53" applyFont="1" applyBorder="1" applyAlignment="1">
      <alignment horizontal="center" vertical="center" wrapText="1"/>
      <protection/>
    </xf>
    <xf numFmtId="3" fontId="10" fillId="0" borderId="83" xfId="53" applyNumberFormat="1" applyFont="1" applyBorder="1" applyAlignment="1">
      <alignment horizontal="right" vertical="center" wrapText="1"/>
      <protection/>
    </xf>
    <xf numFmtId="167" fontId="10" fillId="0" borderId="71" xfId="42" applyNumberFormat="1" applyFont="1" applyBorder="1" applyAlignment="1">
      <alignment horizontal="right" vertical="center" wrapText="1"/>
    </xf>
    <xf numFmtId="167" fontId="10" fillId="0" borderId="83" xfId="42" applyNumberFormat="1" applyFont="1" applyBorder="1" applyAlignment="1">
      <alignment horizontal="right" vertical="center" wrapText="1"/>
    </xf>
    <xf numFmtId="3" fontId="10" fillId="0" borderId="29" xfId="42" applyNumberFormat="1" applyFont="1" applyBorder="1" applyAlignment="1">
      <alignment horizontal="right" vertical="center" wrapText="1"/>
    </xf>
    <xf numFmtId="41" fontId="10" fillId="0" borderId="84" xfId="42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0" fontId="0" fillId="0" borderId="59" xfId="0" applyFont="1" applyBorder="1" applyAlignment="1">
      <alignment horizontal="left" vertical="top" wrapText="1"/>
    </xf>
    <xf numFmtId="0" fontId="10" fillId="0" borderId="7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78" xfId="0" applyFont="1" applyBorder="1" applyAlignment="1">
      <alignment horizontal="center"/>
    </xf>
    <xf numFmtId="3" fontId="0" fillId="0" borderId="85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7" xfId="0" applyFont="1" applyBorder="1" applyAlignment="1">
      <alignment/>
    </xf>
    <xf numFmtId="0" fontId="17" fillId="0" borderId="0" xfId="0" applyFont="1" applyAlignment="1">
      <alignment horizontal="right" vertical="center"/>
    </xf>
    <xf numFmtId="3" fontId="0" fillId="0" borderId="64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8" fillId="33" borderId="79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 horizontal="center"/>
    </xf>
    <xf numFmtId="167" fontId="26" fillId="0" borderId="0" xfId="42" applyNumberFormat="1" applyFont="1" applyAlignment="1">
      <alignment/>
    </xf>
    <xf numFmtId="0" fontId="10" fillId="0" borderId="77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67" fontId="10" fillId="0" borderId="79" xfId="53" applyNumberFormat="1" applyFont="1" applyBorder="1" applyAlignment="1">
      <alignment horizontal="right" vertical="center" wrapText="1"/>
      <protection/>
    </xf>
    <xf numFmtId="41" fontId="0" fillId="0" borderId="36" xfId="53" applyNumberFormat="1" applyFont="1" applyFill="1" applyBorder="1" applyAlignment="1">
      <alignment horizontal="right" vertical="center" wrapText="1"/>
      <protection/>
    </xf>
    <xf numFmtId="41" fontId="0" fillId="0" borderId="13" xfId="53" applyNumberFormat="1" applyFont="1" applyBorder="1" applyAlignment="1">
      <alignment horizontal="right" vertical="center" wrapText="1"/>
      <protection/>
    </xf>
    <xf numFmtId="167" fontId="10" fillId="0" borderId="51" xfId="42" applyNumberFormat="1" applyFont="1" applyBorder="1" applyAlignment="1">
      <alignment horizontal="right" vertical="center" wrapText="1"/>
    </xf>
    <xf numFmtId="0" fontId="9" fillId="33" borderId="43" xfId="53" applyFont="1" applyFill="1" applyBorder="1" applyAlignment="1">
      <alignment horizontal="center" vertical="center" wrapText="1"/>
      <protection/>
    </xf>
    <xf numFmtId="0" fontId="9" fillId="33" borderId="31" xfId="53" applyFont="1" applyFill="1" applyBorder="1" applyAlignment="1">
      <alignment horizontal="center" vertical="center" wrapText="1"/>
      <protection/>
    </xf>
    <xf numFmtId="0" fontId="9" fillId="33" borderId="44" xfId="53" applyFont="1" applyFill="1" applyBorder="1" applyAlignment="1">
      <alignment horizontal="center" vertical="center" wrapText="1"/>
      <protection/>
    </xf>
    <xf numFmtId="0" fontId="9" fillId="33" borderId="45" xfId="53" applyFont="1" applyFill="1" applyBorder="1" applyAlignment="1">
      <alignment horizontal="center" vertical="center" wrapText="1"/>
      <protection/>
    </xf>
    <xf numFmtId="0" fontId="9" fillId="33" borderId="29" xfId="53" applyFont="1" applyFill="1" applyBorder="1" applyAlignment="1">
      <alignment horizontal="center" vertical="center" wrapText="1"/>
      <protection/>
    </xf>
    <xf numFmtId="0" fontId="9" fillId="33" borderId="71" xfId="53" applyFont="1" applyFill="1" applyBorder="1" applyAlignment="1">
      <alignment horizontal="center" vertical="center" wrapText="1"/>
      <protection/>
    </xf>
    <xf numFmtId="0" fontId="9" fillId="33" borderId="83" xfId="53" applyFont="1" applyFill="1" applyBorder="1" applyAlignment="1">
      <alignment horizontal="center" vertical="center" wrapText="1"/>
      <protection/>
    </xf>
    <xf numFmtId="0" fontId="9" fillId="33" borderId="84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3" fontId="4" fillId="0" borderId="1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Continuous"/>
    </xf>
    <xf numFmtId="3" fontId="4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61" xfId="0" applyFont="1" applyBorder="1" applyAlignment="1">
      <alignment horizontal="centerContinuous"/>
    </xf>
    <xf numFmtId="3" fontId="4" fillId="0" borderId="2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5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74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28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70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15" xfId="42" applyNumberFormat="1" applyFont="1" applyBorder="1" applyAlignment="1">
      <alignment horizontal="right" wrapText="1"/>
    </xf>
    <xf numFmtId="49" fontId="4" fillId="0" borderId="47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61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3" fontId="0" fillId="0" borderId="73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3" fontId="11" fillId="0" borderId="4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33" borderId="82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4" fillId="0" borderId="19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5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7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6" fillId="0" borderId="73" xfId="0" applyFont="1" applyBorder="1" applyAlignment="1">
      <alignment horizontal="center"/>
    </xf>
    <xf numFmtId="0" fontId="6" fillId="0" borderId="75" xfId="0" applyFont="1" applyBorder="1" applyAlignment="1">
      <alignment horizontal="center" vertical="center"/>
    </xf>
    <xf numFmtId="0" fontId="6" fillId="0" borderId="73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11" fillId="0" borderId="70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" fontId="4" fillId="0" borderId="59" xfId="0" applyNumberFormat="1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70" xfId="0" applyFont="1" applyBorder="1" applyAlignment="1">
      <alignment horizontal="center" vertical="center"/>
    </xf>
    <xf numFmtId="170" fontId="0" fillId="0" borderId="0" xfId="0" applyNumberFormat="1" applyFont="1" applyAlignment="1">
      <alignment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26" xfId="53" applyFont="1" applyFill="1" applyBorder="1" applyAlignment="1">
      <alignment horizontal="center" vertical="center" wrapText="1"/>
      <protection/>
    </xf>
    <xf numFmtId="0" fontId="8" fillId="33" borderId="70" xfId="53" applyFont="1" applyFill="1" applyBorder="1" applyAlignment="1">
      <alignment horizontal="center" vertical="center" wrapText="1"/>
      <protection/>
    </xf>
    <xf numFmtId="0" fontId="8" fillId="33" borderId="64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70" xfId="53" applyFont="1" applyFill="1" applyBorder="1" applyAlignment="1">
      <alignment horizontal="center" vertical="center" wrapText="1"/>
      <protection/>
    </xf>
    <xf numFmtId="0" fontId="8" fillId="33" borderId="89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9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27" xfId="0" applyFont="1" applyBorder="1" applyAlignment="1">
      <alignment/>
    </xf>
    <xf numFmtId="43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67" fontId="8" fillId="0" borderId="0" xfId="42" applyNumberFormat="1" applyFont="1" applyBorder="1" applyAlignment="1">
      <alignment/>
    </xf>
    <xf numFmtId="3" fontId="0" fillId="35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0" fillId="0" borderId="47" xfId="0" applyFont="1" applyBorder="1" applyAlignment="1">
      <alignment/>
    </xf>
    <xf numFmtId="0" fontId="8" fillId="0" borderId="18" xfId="0" applyFont="1" applyBorder="1" applyAlignment="1">
      <alignment/>
    </xf>
    <xf numFmtId="0" fontId="8" fillId="33" borderId="58" xfId="0" applyFont="1" applyFill="1" applyBorder="1" applyAlignment="1">
      <alignment horizontal="center"/>
    </xf>
    <xf numFmtId="0" fontId="8" fillId="33" borderId="82" xfId="0" applyFont="1" applyFill="1" applyBorder="1" applyAlignment="1">
      <alignment horizontal="centerContinuous"/>
    </xf>
    <xf numFmtId="0" fontId="8" fillId="33" borderId="82" xfId="0" applyFont="1" applyFill="1" applyBorder="1" applyAlignment="1">
      <alignment horizontal="center"/>
    </xf>
    <xf numFmtId="0" fontId="10" fillId="33" borderId="24" xfId="53" applyFont="1" applyFill="1" applyBorder="1" applyAlignment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3" fontId="0" fillId="0" borderId="30" xfId="42" applyNumberFormat="1" applyFont="1" applyBorder="1" applyAlignment="1">
      <alignment horizontal="right" vertical="center" wrapText="1"/>
    </xf>
    <xf numFmtId="3" fontId="0" fillId="0" borderId="82" xfId="42" applyNumberFormat="1" applyFont="1" applyBorder="1" applyAlignment="1">
      <alignment horizontal="right" vertical="center" wrapText="1"/>
    </xf>
    <xf numFmtId="167" fontId="10" fillId="0" borderId="65" xfId="53" applyNumberFormat="1" applyFont="1" applyBorder="1" applyAlignment="1">
      <alignment horizontal="right" vertical="center" wrapText="1"/>
      <protection/>
    </xf>
    <xf numFmtId="167" fontId="10" fillId="0" borderId="25" xfId="53" applyNumberFormat="1" applyFont="1" applyBorder="1" applyAlignment="1">
      <alignment horizontal="right" vertical="center" wrapText="1"/>
      <protection/>
    </xf>
    <xf numFmtId="167" fontId="10" fillId="0" borderId="74" xfId="53" applyNumberFormat="1" applyFont="1" applyBorder="1" applyAlignment="1">
      <alignment horizontal="right" vertical="center" wrapText="1"/>
      <protection/>
    </xf>
    <xf numFmtId="167" fontId="10" fillId="0" borderId="81" xfId="53" applyNumberFormat="1" applyFont="1" applyBorder="1" applyAlignment="1">
      <alignment horizontal="right" vertical="center" wrapText="1"/>
      <protection/>
    </xf>
    <xf numFmtId="41" fontId="10" fillId="0" borderId="62" xfId="42" applyNumberFormat="1" applyFont="1" applyBorder="1" applyAlignment="1">
      <alignment horizontal="right" vertical="center" wrapText="1"/>
    </xf>
    <xf numFmtId="3" fontId="0" fillId="0" borderId="15" xfId="42" applyNumberFormat="1" applyFont="1" applyBorder="1" applyAlignment="1">
      <alignment horizontal="right" vertical="center" wrapText="1"/>
    </xf>
    <xf numFmtId="3" fontId="0" fillId="0" borderId="25" xfId="42" applyNumberFormat="1" applyFont="1" applyBorder="1" applyAlignment="1">
      <alignment horizontal="right" vertical="center" wrapText="1"/>
    </xf>
    <xf numFmtId="3" fontId="0" fillId="0" borderId="21" xfId="42" applyNumberFormat="1" applyFont="1" applyBorder="1" applyAlignment="1">
      <alignment horizontal="right" vertical="center" wrapText="1"/>
    </xf>
    <xf numFmtId="3" fontId="10" fillId="0" borderId="31" xfId="42" applyNumberFormat="1" applyFont="1" applyBorder="1" applyAlignment="1">
      <alignment horizontal="right" vertical="center" wrapText="1"/>
    </xf>
    <xf numFmtId="3" fontId="10" fillId="0" borderId="30" xfId="53" applyNumberFormat="1" applyFont="1" applyBorder="1" applyAlignment="1">
      <alignment horizontal="right"/>
      <protection/>
    </xf>
    <xf numFmtId="3" fontId="0" fillId="0" borderId="12" xfId="42" applyNumberFormat="1" applyFont="1" applyBorder="1" applyAlignment="1">
      <alignment horizontal="right" vertical="center" wrapText="1"/>
    </xf>
    <xf numFmtId="3" fontId="10" fillId="0" borderId="81" xfId="53" applyNumberFormat="1" applyFont="1" applyBorder="1" applyAlignment="1">
      <alignment horizontal="right"/>
      <protection/>
    </xf>
    <xf numFmtId="167" fontId="0" fillId="0" borderId="30" xfId="42" applyNumberFormat="1" applyFont="1" applyFill="1" applyBorder="1" applyAlignment="1">
      <alignment horizontal="right" vertical="center" wrapText="1"/>
    </xf>
    <xf numFmtId="3" fontId="10" fillId="0" borderId="36" xfId="53" applyNumberFormat="1" applyFont="1" applyBorder="1" applyAlignment="1">
      <alignment horizontal="right"/>
      <protection/>
    </xf>
    <xf numFmtId="3" fontId="10" fillId="0" borderId="15" xfId="53" applyNumberFormat="1" applyFont="1" applyBorder="1" applyAlignment="1">
      <alignment horizontal="right" vertical="center" wrapText="1"/>
      <protection/>
    </xf>
    <xf numFmtId="167" fontId="0" fillId="0" borderId="82" xfId="42" applyNumberFormat="1" applyFont="1" applyBorder="1" applyAlignment="1">
      <alignment horizontal="right" vertical="center" wrapText="1"/>
    </xf>
    <xf numFmtId="167" fontId="0" fillId="0" borderId="31" xfId="42" applyNumberFormat="1" applyFont="1" applyBorder="1" applyAlignment="1">
      <alignment horizontal="right" vertical="center" wrapText="1"/>
    </xf>
    <xf numFmtId="167" fontId="0" fillId="0" borderId="29" xfId="42" applyNumberFormat="1" applyFont="1" applyBorder="1" applyAlignment="1">
      <alignment horizontal="right" vertical="center" wrapText="1"/>
    </xf>
    <xf numFmtId="167" fontId="8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70" fontId="0" fillId="0" borderId="10" xfId="63" applyNumberFormat="1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167" fontId="0" fillId="0" borderId="0" xfId="42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67" fontId="10" fillId="0" borderId="31" xfId="42" applyNumberFormat="1" applyFont="1" applyBorder="1" applyAlignment="1">
      <alignment horizontal="right" vertical="center" wrapText="1"/>
    </xf>
    <xf numFmtId="0" fontId="10" fillId="0" borderId="67" xfId="53" applyFont="1" applyBorder="1">
      <alignment/>
      <protection/>
    </xf>
    <xf numFmtId="0" fontId="10" fillId="0" borderId="46" xfId="53" applyFont="1" applyBorder="1" applyAlignment="1">
      <alignment vertical="center"/>
      <protection/>
    </xf>
    <xf numFmtId="0" fontId="10" fillId="0" borderId="18" xfId="53" applyFont="1" applyBorder="1" applyAlignment="1">
      <alignment vertical="center"/>
      <protection/>
    </xf>
    <xf numFmtId="0" fontId="10" fillId="0" borderId="61" xfId="53" applyFont="1" applyBorder="1" applyAlignment="1">
      <alignment horizontal="left" vertical="top"/>
      <protection/>
    </xf>
    <xf numFmtId="0" fontId="10" fillId="0" borderId="46" xfId="53" applyFont="1" applyBorder="1" applyAlignment="1">
      <alignment vertical="top"/>
      <protection/>
    </xf>
    <xf numFmtId="0" fontId="10" fillId="0" borderId="18" xfId="53" applyFont="1" applyBorder="1" applyAlignment="1">
      <alignment vertical="top"/>
      <protection/>
    </xf>
    <xf numFmtId="0" fontId="10" fillId="0" borderId="64" xfId="53" applyFont="1" applyBorder="1" applyAlignment="1">
      <alignment vertical="top"/>
      <protection/>
    </xf>
    <xf numFmtId="0" fontId="10" fillId="0" borderId="61" xfId="53" applyFont="1" applyBorder="1">
      <alignment/>
      <protection/>
    </xf>
    <xf numFmtId="0" fontId="10" fillId="0" borderId="46" xfId="53" applyFont="1" applyBorder="1" applyAlignment="1">
      <alignment horizontal="left"/>
      <protection/>
    </xf>
    <xf numFmtId="0" fontId="0" fillId="0" borderId="18" xfId="53" applyFont="1" applyBorder="1" applyAlignment="1">
      <alignment horizontal="left"/>
      <protection/>
    </xf>
    <xf numFmtId="0" fontId="0" fillId="0" borderId="46" xfId="53" applyFont="1" applyBorder="1" applyAlignment="1">
      <alignment horizontal="left"/>
      <protection/>
    </xf>
    <xf numFmtId="0" fontId="10" fillId="0" borderId="46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46" xfId="53" applyFont="1" applyBorder="1" applyAlignment="1">
      <alignment/>
      <protection/>
    </xf>
    <xf numFmtId="0" fontId="10" fillId="0" borderId="18" xfId="53" applyFont="1" applyBorder="1" applyAlignment="1">
      <alignment horizontal="left"/>
      <protection/>
    </xf>
    <xf numFmtId="0" fontId="10" fillId="0" borderId="64" xfId="53" applyFont="1" applyBorder="1" applyAlignment="1">
      <alignment horizontal="left"/>
      <protection/>
    </xf>
    <xf numFmtId="167" fontId="10" fillId="33" borderId="11" xfId="53" applyNumberFormat="1" applyFont="1" applyFill="1" applyBorder="1" applyAlignment="1">
      <alignment horizontal="center" vertical="center" wrapText="1"/>
      <protection/>
    </xf>
    <xf numFmtId="0" fontId="8" fillId="33" borderId="2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8" fillId="33" borderId="13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top" wrapText="1"/>
    </xf>
    <xf numFmtId="0" fontId="0" fillId="0" borderId="65" xfId="0" applyFont="1" applyBorder="1" applyAlignment="1">
      <alignment vertical="top" wrapText="1"/>
    </xf>
    <xf numFmtId="0" fontId="10" fillId="0" borderId="60" xfId="0" applyFont="1" applyBorder="1" applyAlignment="1">
      <alignment horizontal="center" vertical="top" wrapText="1"/>
    </xf>
    <xf numFmtId="0" fontId="0" fillId="0" borderId="51" xfId="0" applyFont="1" applyBorder="1" applyAlignment="1">
      <alignment vertical="top" wrapText="1"/>
    </xf>
    <xf numFmtId="3" fontId="4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0" fillId="0" borderId="0" xfId="0" applyFont="1" applyAlignment="1" applyProtection="1">
      <alignment wrapText="1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vertical="center"/>
      <protection/>
    </xf>
    <xf numFmtId="0" fontId="23" fillId="0" borderId="0" xfId="54" applyFont="1" applyAlignment="1">
      <alignment horizontal="center" vertical="center"/>
      <protection/>
    </xf>
    <xf numFmtId="3" fontId="23" fillId="0" borderId="0" xfId="54" applyNumberFormat="1" applyFont="1" applyAlignment="1">
      <alignment horizontal="center" vertical="center"/>
      <protection/>
    </xf>
    <xf numFmtId="0" fontId="23" fillId="0" borderId="0" xfId="54" applyFont="1">
      <alignment/>
      <protection/>
    </xf>
    <xf numFmtId="0" fontId="31" fillId="0" borderId="0" xfId="54" applyFont="1" applyAlignment="1">
      <alignment horizontal="center" vertical="center"/>
      <protection/>
    </xf>
    <xf numFmtId="3" fontId="0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3" fontId="4" fillId="0" borderId="86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0" fontId="4" fillId="0" borderId="86" xfId="0" applyFont="1" applyFill="1" applyBorder="1" applyAlignment="1">
      <alignment vertical="center" wrapText="1"/>
    </xf>
    <xf numFmtId="3" fontId="4" fillId="0" borderId="91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/>
    </xf>
    <xf numFmtId="0" fontId="4" fillId="0" borderId="9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86" xfId="0" applyFont="1" applyFill="1" applyBorder="1" applyAlignment="1">
      <alignment horizontal="center" vertical="center"/>
    </xf>
    <xf numFmtId="3" fontId="4" fillId="0" borderId="9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0" fontId="0" fillId="0" borderId="7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3" fontId="5" fillId="0" borderId="79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4" xfId="52" applyFont="1" applyBorder="1" applyAlignment="1">
      <alignment vertical="center" wrapText="1"/>
      <protection/>
    </xf>
    <xf numFmtId="0" fontId="7" fillId="36" borderId="21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66" xfId="0" applyFont="1" applyFill="1" applyBorder="1" applyAlignment="1">
      <alignment horizontal="center" vertical="center" wrapText="1"/>
    </xf>
    <xf numFmtId="0" fontId="5" fillId="37" borderId="72" xfId="0" applyFont="1" applyFill="1" applyBorder="1" applyAlignment="1">
      <alignment horizontal="center" vertical="center" wrapText="1"/>
    </xf>
    <xf numFmtId="0" fontId="5" fillId="37" borderId="73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3" fontId="7" fillId="33" borderId="94" xfId="0" applyNumberFormat="1" applyFont="1" applyFill="1" applyBorder="1" applyAlignment="1">
      <alignment horizontal="right" vertical="center" wrapText="1"/>
    </xf>
    <xf numFmtId="3" fontId="7" fillId="33" borderId="94" xfId="0" applyNumberFormat="1" applyFont="1" applyFill="1" applyBorder="1" applyAlignment="1">
      <alignment horizontal="right" vertical="center" wrapText="1"/>
    </xf>
    <xf numFmtId="0" fontId="5" fillId="33" borderId="95" xfId="0" applyFont="1" applyFill="1" applyBorder="1" applyAlignment="1">
      <alignment/>
    </xf>
    <xf numFmtId="0" fontId="5" fillId="34" borderId="73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vertical="center" wrapText="1"/>
    </xf>
    <xf numFmtId="0" fontId="5" fillId="34" borderId="73" xfId="0" applyFont="1" applyFill="1" applyBorder="1" applyAlignment="1">
      <alignment horizontal="right" vertical="center" wrapText="1"/>
    </xf>
    <xf numFmtId="3" fontId="5" fillId="34" borderId="73" xfId="0" applyNumberFormat="1" applyFont="1" applyFill="1" applyBorder="1" applyAlignment="1">
      <alignment horizontal="center" vertical="center" wrapText="1"/>
    </xf>
    <xf numFmtId="3" fontId="5" fillId="34" borderId="73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34" fillId="34" borderId="19" xfId="0" applyFont="1" applyFill="1" applyBorder="1" applyAlignment="1">
      <alignment vertical="center" wrapText="1"/>
    </xf>
    <xf numFmtId="3" fontId="35" fillId="0" borderId="19" xfId="0" applyNumberFormat="1" applyFont="1" applyFill="1" applyBorder="1" applyAlignment="1">
      <alignment horizontal="right" vertical="center" wrapText="1"/>
    </xf>
    <xf numFmtId="3" fontId="35" fillId="34" borderId="10" xfId="0" applyNumberFormat="1" applyFont="1" applyFill="1" applyBorder="1" applyAlignment="1">
      <alignment horizontal="right" vertical="center" wrapText="1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34" borderId="19" xfId="0" applyNumberFormat="1" applyFont="1" applyFill="1" applyBorder="1" applyAlignment="1">
      <alignment horizontal="right" vertical="center" wrapText="1"/>
    </xf>
    <xf numFmtId="3" fontId="5" fillId="34" borderId="19" xfId="0" applyNumberFormat="1" applyFont="1" applyFill="1" applyBorder="1" applyAlignment="1">
      <alignment horizontal="right" vertical="center"/>
    </xf>
    <xf numFmtId="3" fontId="7" fillId="36" borderId="96" xfId="0" applyNumberFormat="1" applyFont="1" applyFill="1" applyBorder="1" applyAlignment="1">
      <alignment horizontal="right" vertical="center" wrapText="1"/>
    </xf>
    <xf numFmtId="0" fontId="7" fillId="33" borderId="95" xfId="0" applyFont="1" applyFill="1" applyBorder="1" applyAlignment="1">
      <alignment/>
    </xf>
    <xf numFmtId="0" fontId="7" fillId="0" borderId="73" xfId="0" applyFont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73" xfId="0" applyNumberFormat="1" applyFont="1" applyFill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/>
    </xf>
    <xf numFmtId="0" fontId="34" fillId="0" borderId="19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5" fillId="0" borderId="10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4" fillId="34" borderId="73" xfId="0" applyNumberFormat="1" applyFont="1" applyFill="1" applyBorder="1" applyAlignment="1">
      <alignment horizontal="right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0" fontId="5" fillId="0" borderId="67" xfId="0" applyFont="1" applyBorder="1" applyAlignment="1">
      <alignment/>
    </xf>
    <xf numFmtId="3" fontId="35" fillId="34" borderId="19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3" fontId="5" fillId="34" borderId="19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9" fontId="5" fillId="0" borderId="18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26" xfId="0" applyNumberFormat="1" applyFont="1" applyFill="1" applyBorder="1" applyAlignment="1">
      <alignment horizontal="right" vertical="center" wrapText="1"/>
    </xf>
    <xf numFmtId="3" fontId="5" fillId="34" borderId="26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9" fontId="5" fillId="0" borderId="64" xfId="0" applyNumberFormat="1" applyFont="1" applyBorder="1" applyAlignment="1">
      <alignment horizontal="center"/>
    </xf>
    <xf numFmtId="0" fontId="5" fillId="34" borderId="7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vertical="center" wrapText="1"/>
    </xf>
    <xf numFmtId="3" fontId="7" fillId="36" borderId="97" xfId="0" applyNumberFormat="1" applyFont="1" applyFill="1" applyBorder="1" applyAlignment="1">
      <alignment horizontal="right" vertical="center" wrapText="1"/>
    </xf>
    <xf numFmtId="0" fontId="7" fillId="0" borderId="73" xfId="52" applyFont="1" applyBorder="1" applyAlignment="1">
      <alignment vertical="center" wrapText="1"/>
      <protection/>
    </xf>
    <xf numFmtId="3" fontId="35" fillId="34" borderId="19" xfId="0" applyNumberFormat="1" applyFont="1" applyFill="1" applyBorder="1" applyAlignment="1">
      <alignment vertical="center" wrapText="1"/>
    </xf>
    <xf numFmtId="3" fontId="5" fillId="34" borderId="19" xfId="0" applyNumberFormat="1" applyFont="1" applyFill="1" applyBorder="1" applyAlignment="1">
      <alignment vertical="center" wrapText="1"/>
    </xf>
    <xf numFmtId="3" fontId="5" fillId="34" borderId="19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7" fillId="36" borderId="94" xfId="0" applyNumberFormat="1" applyFont="1" applyFill="1" applyBorder="1" applyAlignment="1">
      <alignment horizontal="right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right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0" fontId="7" fillId="36" borderId="82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3" fontId="21" fillId="34" borderId="27" xfId="0" applyNumberFormat="1" applyFont="1" applyFill="1" applyBorder="1" applyAlignment="1">
      <alignment horizontal="center" vertical="center"/>
    </xf>
    <xf numFmtId="3" fontId="35" fillId="34" borderId="19" xfId="0" applyNumberFormat="1" applyFont="1" applyFill="1" applyBorder="1" applyAlignment="1">
      <alignment horizontal="right" vertical="center" wrapText="1"/>
    </xf>
    <xf numFmtId="3" fontId="34" fillId="34" borderId="19" xfId="0" applyNumberFormat="1" applyFont="1" applyFill="1" applyBorder="1" applyAlignment="1">
      <alignment horizontal="right" vertical="center"/>
    </xf>
    <xf numFmtId="3" fontId="34" fillId="34" borderId="0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vertical="center" wrapText="1"/>
    </xf>
    <xf numFmtId="3" fontId="21" fillId="34" borderId="12" xfId="0" applyNumberFormat="1" applyFont="1" applyFill="1" applyBorder="1" applyAlignment="1">
      <alignment horizontal="right" vertical="center"/>
    </xf>
    <xf numFmtId="3" fontId="36" fillId="34" borderId="10" xfId="0" applyNumberFormat="1" applyFont="1" applyFill="1" applyBorder="1" applyAlignment="1">
      <alignment horizontal="right" vertical="center"/>
    </xf>
    <xf numFmtId="3" fontId="21" fillId="34" borderId="10" xfId="0" applyNumberFormat="1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vertical="center" wrapText="1"/>
    </xf>
    <xf numFmtId="3" fontId="21" fillId="34" borderId="10" xfId="0" applyNumberFormat="1" applyFont="1" applyFill="1" applyBorder="1" applyAlignment="1">
      <alignment horizontal="center"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5" fillId="0" borderId="73" xfId="0" applyNumberFormat="1" applyFont="1" applyBorder="1" applyAlignment="1">
      <alignment vertical="center" wrapText="1"/>
    </xf>
    <xf numFmtId="3" fontId="21" fillId="34" borderId="27" xfId="0" applyNumberFormat="1" applyFont="1" applyFill="1" applyBorder="1" applyAlignment="1">
      <alignment horizontal="right" vertical="center"/>
    </xf>
    <xf numFmtId="3" fontId="5" fillId="34" borderId="73" xfId="0" applyNumberFormat="1" applyFont="1" applyFill="1" applyBorder="1" applyAlignment="1">
      <alignment horizontal="right" vertical="center" wrapText="1"/>
    </xf>
    <xf numFmtId="3" fontId="5" fillId="34" borderId="73" xfId="0" applyNumberFormat="1" applyFont="1" applyFill="1" applyBorder="1" applyAlignment="1">
      <alignment horizontal="right" vertical="center"/>
    </xf>
    <xf numFmtId="3" fontId="5" fillId="34" borderId="20" xfId="0" applyNumberFormat="1" applyFont="1" applyFill="1" applyBorder="1" applyAlignment="1">
      <alignment horizontal="right" vertical="center"/>
    </xf>
    <xf numFmtId="0" fontId="34" fillId="0" borderId="19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3" fontId="5" fillId="34" borderId="73" xfId="0" applyNumberFormat="1" applyFont="1" applyFill="1" applyBorder="1" applyAlignment="1">
      <alignment horizontal="right" vertical="center" wrapText="1"/>
    </xf>
    <xf numFmtId="0" fontId="5" fillId="0" borderId="64" xfId="0" applyFont="1" applyBorder="1" applyAlignment="1">
      <alignment/>
    </xf>
    <xf numFmtId="3" fontId="7" fillId="36" borderId="9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vertical="center" wrapText="1"/>
    </xf>
    <xf numFmtId="0" fontId="5" fillId="37" borderId="99" xfId="0" applyFont="1" applyFill="1" applyBorder="1" applyAlignment="1">
      <alignment horizontal="center" vertical="center" wrapText="1"/>
    </xf>
    <xf numFmtId="0" fontId="5" fillId="37" borderId="100" xfId="0" applyFont="1" applyFill="1" applyBorder="1" applyAlignment="1">
      <alignment horizontal="center" vertical="center" wrapText="1"/>
    </xf>
    <xf numFmtId="0" fontId="5" fillId="37" borderId="101" xfId="0" applyFont="1" applyFill="1" applyBorder="1" applyAlignment="1">
      <alignment horizontal="center" vertical="center" wrapText="1"/>
    </xf>
    <xf numFmtId="0" fontId="5" fillId="37" borderId="101" xfId="0" applyFont="1" applyFill="1" applyBorder="1" applyAlignment="1">
      <alignment horizontal="center" vertical="center" wrapText="1"/>
    </xf>
    <xf numFmtId="0" fontId="5" fillId="37" borderId="102" xfId="0" applyFont="1" applyFill="1" applyBorder="1" applyAlignment="1">
      <alignment horizontal="center" vertical="center" wrapText="1"/>
    </xf>
    <xf numFmtId="0" fontId="5" fillId="0" borderId="103" xfId="0" applyFont="1" applyBorder="1" applyAlignment="1">
      <alignment horizontal="center"/>
    </xf>
    <xf numFmtId="3" fontId="7" fillId="36" borderId="98" xfId="0" applyNumberFormat="1" applyFont="1" applyFill="1" applyBorder="1" applyAlignment="1">
      <alignment horizontal="right" vertical="center" wrapText="1"/>
    </xf>
    <xf numFmtId="3" fontId="7" fillId="36" borderId="96" xfId="0" applyNumberFormat="1" applyFont="1" applyFill="1" applyBorder="1" applyAlignment="1">
      <alignment horizontal="right" vertical="center" wrapText="1"/>
    </xf>
    <xf numFmtId="0" fontId="5" fillId="33" borderId="104" xfId="0" applyFont="1" applyFill="1" applyBorder="1" applyAlignment="1">
      <alignment/>
    </xf>
    <xf numFmtId="0" fontId="5" fillId="0" borderId="7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vertical="center" wrapText="1"/>
    </xf>
    <xf numFmtId="3" fontId="5" fillId="0" borderId="47" xfId="0" applyNumberFormat="1" applyFont="1" applyBorder="1" applyAlignment="1">
      <alignment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 vertical="center" wrapText="1"/>
    </xf>
    <xf numFmtId="3" fontId="34" fillId="34" borderId="19" xfId="0" applyNumberFormat="1" applyFont="1" applyFill="1" applyBorder="1" applyAlignment="1">
      <alignment horizontal="right" vertical="center" wrapText="1"/>
    </xf>
    <xf numFmtId="3" fontId="34" fillId="34" borderId="0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/>
    </xf>
    <xf numFmtId="3" fontId="5" fillId="34" borderId="47" xfId="0" applyNumberFormat="1" applyFont="1" applyFill="1" applyBorder="1" applyAlignment="1">
      <alignment horizontal="right" vertical="center" wrapText="1"/>
    </xf>
    <xf numFmtId="3" fontId="5" fillId="34" borderId="90" xfId="0" applyNumberFormat="1" applyFont="1" applyFill="1" applyBorder="1" applyAlignment="1">
      <alignment horizontal="right" vertical="center" wrapText="1"/>
    </xf>
    <xf numFmtId="9" fontId="5" fillId="0" borderId="85" xfId="0" applyNumberFormat="1" applyFont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3" fontId="37" fillId="33" borderId="19" xfId="0" applyNumberFormat="1" applyFont="1" applyFill="1" applyBorder="1" applyAlignment="1">
      <alignment vertical="center" wrapText="1"/>
    </xf>
    <xf numFmtId="3" fontId="35" fillId="33" borderId="19" xfId="0" applyNumberFormat="1" applyFont="1" applyFill="1" applyBorder="1" applyAlignment="1">
      <alignment vertical="center" wrapText="1"/>
    </xf>
    <xf numFmtId="3" fontId="5" fillId="33" borderId="18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vertical="center" wrapText="1"/>
    </xf>
    <xf numFmtId="3" fontId="38" fillId="33" borderId="19" xfId="0" applyNumberFormat="1" applyFont="1" applyFill="1" applyBorder="1" applyAlignment="1">
      <alignment vertical="center" wrapText="1"/>
    </xf>
    <xf numFmtId="3" fontId="7" fillId="33" borderId="19" xfId="0" applyNumberFormat="1" applyFont="1" applyFill="1" applyBorder="1" applyAlignment="1">
      <alignment vertical="center" wrapText="1"/>
    </xf>
    <xf numFmtId="3" fontId="7" fillId="33" borderId="18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38" fillId="33" borderId="14" xfId="0" applyFont="1" applyFill="1" applyBorder="1" applyAlignment="1">
      <alignment vertical="center" wrapText="1"/>
    </xf>
    <xf numFmtId="3" fontId="38" fillId="33" borderId="26" xfId="0" applyNumberFormat="1" applyFont="1" applyFill="1" applyBorder="1" applyAlignment="1">
      <alignment vertical="center" wrapText="1"/>
    </xf>
    <xf numFmtId="3" fontId="7" fillId="33" borderId="26" xfId="0" applyNumberFormat="1" applyFont="1" applyFill="1" applyBorder="1" applyAlignment="1">
      <alignment vertical="center" wrapText="1"/>
    </xf>
    <xf numFmtId="3" fontId="5" fillId="33" borderId="64" xfId="0" applyNumberFormat="1" applyFont="1" applyFill="1" applyBorder="1" applyAlignment="1">
      <alignment/>
    </xf>
    <xf numFmtId="0" fontId="4" fillId="0" borderId="0" xfId="54" applyFont="1">
      <alignment/>
      <protection/>
    </xf>
    <xf numFmtId="0" fontId="4" fillId="34" borderId="0" xfId="54" applyFont="1" applyFill="1" applyAlignment="1">
      <alignment horizontal="center" wrapText="1"/>
      <protection/>
    </xf>
    <xf numFmtId="0" fontId="4" fillId="34" borderId="0" xfId="54" applyFont="1" applyFill="1" applyAlignment="1">
      <alignment horizontal="center" vertical="center" wrapText="1"/>
      <protection/>
    </xf>
    <xf numFmtId="3" fontId="4" fillId="34" borderId="0" xfId="54" applyNumberFormat="1" applyFont="1" applyFill="1" applyAlignment="1">
      <alignment horizontal="center" vertical="center" wrapText="1"/>
      <protection/>
    </xf>
    <xf numFmtId="0" fontId="4" fillId="34" borderId="0" xfId="54" applyFont="1" applyFill="1" applyAlignment="1">
      <alignment vertical="center"/>
      <protection/>
    </xf>
    <xf numFmtId="3" fontId="4" fillId="0" borderId="0" xfId="54" applyNumberFormat="1" applyFont="1">
      <alignment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167" fontId="10" fillId="33" borderId="36" xfId="53" applyNumberFormat="1" applyFont="1" applyFill="1" applyBorder="1" applyAlignment="1">
      <alignment horizontal="right" vertical="center" wrapText="1"/>
      <protection/>
    </xf>
    <xf numFmtId="3" fontId="10" fillId="33" borderId="15" xfId="53" applyNumberFormat="1" applyFont="1" applyFill="1" applyBorder="1" applyAlignment="1">
      <alignment horizontal="right" vertical="center" wrapText="1"/>
      <protection/>
    </xf>
    <xf numFmtId="3" fontId="10" fillId="33" borderId="65" xfId="53" applyNumberFormat="1" applyFont="1" applyFill="1" applyBorder="1" applyAlignment="1">
      <alignment horizontal="right" vertical="center" wrapText="1"/>
      <protection/>
    </xf>
    <xf numFmtId="3" fontId="10" fillId="0" borderId="36" xfId="53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167" fontId="0" fillId="0" borderId="16" xfId="42" applyNumberFormat="1" applyFont="1" applyBorder="1" applyAlignment="1">
      <alignment horizontal="right" wrapText="1"/>
    </xf>
    <xf numFmtId="167" fontId="0" fillId="0" borderId="17" xfId="42" applyNumberFormat="1" applyFont="1" applyBorder="1" applyAlignment="1">
      <alignment horizontal="right" wrapText="1"/>
    </xf>
    <xf numFmtId="167" fontId="0" fillId="0" borderId="25" xfId="42" applyNumberFormat="1" applyFont="1" applyBorder="1" applyAlignment="1">
      <alignment horizontal="right" wrapText="1"/>
    </xf>
    <xf numFmtId="3" fontId="82" fillId="0" borderId="19" xfId="0" applyNumberFormat="1" applyFont="1" applyBorder="1" applyAlignment="1">
      <alignment/>
    </xf>
    <xf numFmtId="0" fontId="82" fillId="0" borderId="10" xfId="0" applyFont="1" applyBorder="1" applyAlignment="1">
      <alignment/>
    </xf>
    <xf numFmtId="3" fontId="82" fillId="0" borderId="18" xfId="0" applyNumberFormat="1" applyFont="1" applyBorder="1" applyAlignment="1">
      <alignment/>
    </xf>
    <xf numFmtId="3" fontId="8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85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82" fillId="0" borderId="11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3" fontId="82" fillId="0" borderId="0" xfId="0" applyNumberFormat="1" applyFont="1" applyAlignment="1">
      <alignment/>
    </xf>
    <xf numFmtId="0" fontId="82" fillId="0" borderId="0" xfId="0" applyFont="1" applyAlignment="1">
      <alignment/>
    </xf>
    <xf numFmtId="3" fontId="0" fillId="0" borderId="90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2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47" xfId="0" applyNumberFormat="1" applyFont="1" applyBorder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73" xfId="0" applyFont="1" applyBorder="1" applyAlignment="1">
      <alignment horizontal="center"/>
    </xf>
    <xf numFmtId="3" fontId="1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167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167" fontId="0" fillId="0" borderId="17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50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167" fontId="0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33" borderId="58" xfId="0" applyFont="1" applyFill="1" applyBorder="1" applyAlignment="1">
      <alignment horizontal="centerContinuous"/>
    </xf>
    <xf numFmtId="0" fontId="8" fillId="33" borderId="50" xfId="0" applyFont="1" applyFill="1" applyBorder="1" applyAlignment="1">
      <alignment horizontal="centerContinuous"/>
    </xf>
    <xf numFmtId="0" fontId="1" fillId="38" borderId="16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167" fontId="4" fillId="0" borderId="0" xfId="0" applyNumberFormat="1" applyFont="1" applyAlignment="1">
      <alignment/>
    </xf>
    <xf numFmtId="0" fontId="83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3" fontId="35" fillId="34" borderId="10" xfId="0" applyNumberFormat="1" applyFont="1" applyFill="1" applyBorder="1" applyAlignment="1">
      <alignment horizontal="right" vertical="center" wrapText="1"/>
    </xf>
    <xf numFmtId="0" fontId="7" fillId="0" borderId="64" xfId="0" applyFont="1" applyFill="1" applyBorder="1" applyAlignment="1">
      <alignment/>
    </xf>
    <xf numFmtId="3" fontId="5" fillId="34" borderId="12" xfId="0" applyNumberFormat="1" applyFont="1" applyFill="1" applyBorder="1" applyAlignment="1">
      <alignment vertical="center" wrapText="1"/>
    </xf>
    <xf numFmtId="3" fontId="5" fillId="34" borderId="26" xfId="0" applyNumberFormat="1" applyFont="1" applyFill="1" applyBorder="1" applyAlignment="1">
      <alignment vertical="center" wrapText="1"/>
    </xf>
    <xf numFmtId="3" fontId="5" fillId="34" borderId="26" xfId="0" applyNumberFormat="1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66" xfId="0" applyFont="1" applyBorder="1" applyAlignment="1">
      <alignment wrapText="1"/>
    </xf>
    <xf numFmtId="0" fontId="7" fillId="0" borderId="64" xfId="0" applyFont="1" applyBorder="1" applyAlignment="1">
      <alignment/>
    </xf>
    <xf numFmtId="3" fontId="7" fillId="36" borderId="95" xfId="0" applyNumberFormat="1" applyFont="1" applyFill="1" applyBorder="1" applyAlignment="1">
      <alignment horizontal="right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0" fontId="5" fillId="34" borderId="47" xfId="0" applyFont="1" applyFill="1" applyBorder="1" applyAlignment="1">
      <alignment vertical="center" wrapText="1"/>
    </xf>
    <xf numFmtId="3" fontId="34" fillId="34" borderId="47" xfId="0" applyNumberFormat="1" applyFont="1" applyFill="1" applyBorder="1" applyAlignment="1">
      <alignment horizontal="right" vertical="center" wrapText="1"/>
    </xf>
    <xf numFmtId="3" fontId="34" fillId="34" borderId="90" xfId="0" applyNumberFormat="1" applyFont="1" applyFill="1" applyBorder="1" applyAlignment="1">
      <alignment horizontal="right" vertical="center" wrapText="1"/>
    </xf>
    <xf numFmtId="167" fontId="1" fillId="34" borderId="34" xfId="42" applyNumberFormat="1" applyFont="1" applyFill="1" applyBorder="1" applyAlignment="1">
      <alignment horizontal="left" vertical="center" wrapText="1"/>
    </xf>
    <xf numFmtId="167" fontId="4" fillId="34" borderId="16" xfId="42" applyNumberFormat="1" applyFont="1" applyFill="1" applyBorder="1" applyAlignment="1">
      <alignment horizontal="left" vertical="center" wrapText="1"/>
    </xf>
    <xf numFmtId="167" fontId="4" fillId="0" borderId="17" xfId="42" applyNumberFormat="1" applyFont="1" applyFill="1" applyBorder="1" applyAlignment="1">
      <alignment horizontal="left" vertical="center" wrapText="1"/>
    </xf>
    <xf numFmtId="167" fontId="1" fillId="34" borderId="25" xfId="42" applyNumberFormat="1" applyFont="1" applyFill="1" applyBorder="1" applyAlignment="1">
      <alignment horizontal="left" vertical="center" wrapText="1"/>
    </xf>
    <xf numFmtId="167" fontId="4" fillId="0" borderId="24" xfId="42" applyNumberFormat="1" applyFont="1" applyFill="1" applyBorder="1" applyAlignment="1">
      <alignment horizontal="left" vertical="center" wrapText="1"/>
    </xf>
    <xf numFmtId="167" fontId="4" fillId="34" borderId="16" xfId="42" applyNumberFormat="1" applyFont="1" applyFill="1" applyBorder="1" applyAlignment="1">
      <alignment horizontal="right" vertical="center" wrapText="1"/>
    </xf>
    <xf numFmtId="167" fontId="4" fillId="0" borderId="17" xfId="42" applyNumberFormat="1" applyFont="1" applyFill="1" applyBorder="1" applyAlignment="1">
      <alignment horizontal="right" vertical="center" wrapText="1"/>
    </xf>
    <xf numFmtId="3" fontId="0" fillId="0" borderId="0" xfId="53" applyNumberFormat="1" applyFont="1">
      <alignment/>
      <protection/>
    </xf>
    <xf numFmtId="167" fontId="0" fillId="0" borderId="0" xfId="53" applyNumberFormat="1" applyFont="1" applyAlignment="1">
      <alignment horizontal="right"/>
      <protection/>
    </xf>
    <xf numFmtId="167" fontId="10" fillId="33" borderId="81" xfId="53" applyNumberFormat="1" applyFont="1" applyFill="1" applyBorder="1" applyAlignment="1">
      <alignment horizontal="right" vertical="center" wrapText="1"/>
      <protection/>
    </xf>
    <xf numFmtId="167" fontId="10" fillId="33" borderId="80" xfId="53" applyNumberFormat="1" applyFont="1" applyFill="1" applyBorder="1" applyAlignment="1">
      <alignment horizontal="right" vertical="center" wrapText="1"/>
      <protection/>
    </xf>
    <xf numFmtId="167" fontId="10" fillId="33" borderId="79" xfId="53" applyNumberFormat="1" applyFont="1" applyFill="1" applyBorder="1" applyAlignment="1">
      <alignment horizontal="right" vertical="center" wrapText="1"/>
      <protection/>
    </xf>
    <xf numFmtId="3" fontId="10" fillId="33" borderId="57" xfId="53" applyNumberFormat="1" applyFont="1" applyFill="1" applyBorder="1" applyAlignment="1">
      <alignment horizontal="right" vertical="center" wrapText="1"/>
      <protection/>
    </xf>
    <xf numFmtId="167" fontId="10" fillId="33" borderId="46" xfId="53" applyNumberFormat="1" applyFont="1" applyFill="1" applyBorder="1" applyAlignment="1">
      <alignment horizontal="right" vertical="center" wrapText="1"/>
      <protection/>
    </xf>
    <xf numFmtId="3" fontId="10" fillId="33" borderId="46" xfId="53" applyNumberFormat="1" applyFont="1" applyFill="1" applyBorder="1" applyAlignment="1">
      <alignment horizontal="right" vertical="center" wrapText="1"/>
      <protection/>
    </xf>
    <xf numFmtId="167" fontId="10" fillId="0" borderId="16" xfId="53" applyNumberFormat="1" applyFont="1" applyBorder="1" applyAlignment="1">
      <alignment horizontal="right" vertical="center" wrapText="1"/>
      <protection/>
    </xf>
    <xf numFmtId="0" fontId="0" fillId="0" borderId="0" xfId="53" applyFont="1">
      <alignment/>
      <protection/>
    </xf>
    <xf numFmtId="0" fontId="7" fillId="0" borderId="16" xfId="52" applyFont="1" applyBorder="1" applyAlignment="1">
      <alignment vertical="center" wrapText="1"/>
      <protection/>
    </xf>
    <xf numFmtId="0" fontId="7" fillId="33" borderId="33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0" fillId="33" borderId="25" xfId="0" applyFont="1" applyFill="1" applyBorder="1" applyAlignment="1">
      <alignment horizontal="left" vertical="center" wrapText="1"/>
    </xf>
    <xf numFmtId="3" fontId="7" fillId="33" borderId="46" xfId="0" applyNumberFormat="1" applyFont="1" applyFill="1" applyBorder="1" applyAlignment="1">
      <alignment vertical="center" wrapText="1"/>
    </xf>
    <xf numFmtId="49" fontId="21" fillId="0" borderId="17" xfId="0" applyNumberFormat="1" applyFont="1" applyBorder="1" applyAlignment="1">
      <alignment vertical="center" wrapText="1"/>
    </xf>
    <xf numFmtId="3" fontId="7" fillId="0" borderId="50" xfId="0" applyNumberFormat="1" applyFont="1" applyFill="1" applyBorder="1" applyAlignment="1">
      <alignment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73" xfId="0" applyNumberFormat="1" applyFont="1" applyFill="1" applyBorder="1" applyAlignment="1">
      <alignment horizontal="center" vertical="center" wrapText="1"/>
    </xf>
    <xf numFmtId="3" fontId="5" fillId="34" borderId="73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/>
    </xf>
    <xf numFmtId="0" fontId="34" fillId="34" borderId="19" xfId="0" applyFont="1" applyFill="1" applyBorder="1" applyAlignment="1">
      <alignment vertical="center" wrapText="1"/>
    </xf>
    <xf numFmtId="3" fontId="5" fillId="34" borderId="19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23" fillId="0" borderId="10" xfId="0" applyFont="1" applyBorder="1" applyAlignment="1">
      <alignment horizontal="centerContinuous"/>
    </xf>
    <xf numFmtId="0" fontId="23" fillId="0" borderId="19" xfId="0" applyFont="1" applyBorder="1" applyAlignment="1">
      <alignment horizontal="centerContinuous"/>
    </xf>
    <xf numFmtId="0" fontId="23" fillId="0" borderId="67" xfId="0" applyFont="1" applyBorder="1" applyAlignment="1">
      <alignment horizontal="centerContinuous"/>
    </xf>
    <xf numFmtId="49" fontId="4" fillId="0" borderId="4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Continuous"/>
    </xf>
    <xf numFmtId="3" fontId="23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49" fontId="23" fillId="0" borderId="47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3" fontId="23" fillId="0" borderId="24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18" xfId="0" applyNumberFormat="1" applyFont="1" applyBorder="1" applyAlignment="1">
      <alignment/>
    </xf>
    <xf numFmtId="49" fontId="23" fillId="0" borderId="19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3" fontId="23" fillId="0" borderId="19" xfId="0" applyNumberFormat="1" applyFont="1" applyBorder="1" applyAlignment="1">
      <alignment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3" fontId="23" fillId="0" borderId="21" xfId="0" applyNumberFormat="1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3" fontId="4" fillId="0" borderId="47" xfId="0" applyNumberFormat="1" applyFont="1" applyBorder="1" applyAlignment="1">
      <alignment horizontal="right"/>
    </xf>
    <xf numFmtId="3" fontId="4" fillId="0" borderId="85" xfId="0" applyNumberFormat="1" applyFont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/>
    </xf>
    <xf numFmtId="3" fontId="23" fillId="0" borderId="0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25" xfId="0" applyFont="1" applyFill="1" applyBorder="1" applyAlignment="1">
      <alignment horizontal="center"/>
    </xf>
    <xf numFmtId="3" fontId="23" fillId="0" borderId="19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 wrapText="1"/>
    </xf>
    <xf numFmtId="167" fontId="22" fillId="0" borderId="0" xfId="4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65" xfId="0" applyFont="1" applyBorder="1" applyAlignment="1">
      <alignment horizontal="center"/>
    </xf>
    <xf numFmtId="3" fontId="23" fillId="0" borderId="46" xfId="0" applyNumberFormat="1" applyFont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3" fontId="23" fillId="0" borderId="10" xfId="0" applyNumberFormat="1" applyFont="1" applyBorder="1" applyAlignment="1">
      <alignment vertical="center"/>
    </xf>
    <xf numFmtId="0" fontId="43" fillId="0" borderId="19" xfId="0" applyFont="1" applyBorder="1" applyAlignment="1">
      <alignment horizontal="center"/>
    </xf>
    <xf numFmtId="49" fontId="22" fillId="0" borderId="63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3" fontId="23" fillId="0" borderId="104" xfId="0" applyNumberFormat="1" applyFont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centerContinuous"/>
    </xf>
    <xf numFmtId="0" fontId="41" fillId="0" borderId="0" xfId="0" applyFont="1" applyFill="1" applyAlignment="1">
      <alignment/>
    </xf>
    <xf numFmtId="0" fontId="23" fillId="0" borderId="6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3" fontId="23" fillId="0" borderId="15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vertical="center"/>
    </xf>
    <xf numFmtId="0" fontId="23" fillId="0" borderId="61" xfId="0" applyFont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3" fontId="4" fillId="0" borderId="105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32" xfId="0" applyNumberFormat="1" applyFont="1" applyBorder="1" applyAlignment="1">
      <alignment/>
    </xf>
    <xf numFmtId="3" fontId="23" fillId="0" borderId="32" xfId="0" applyNumberFormat="1" applyFont="1" applyBorder="1" applyAlignment="1">
      <alignment horizontal="right"/>
    </xf>
    <xf numFmtId="0" fontId="4" fillId="0" borderId="19" xfId="0" applyFont="1" applyFill="1" applyBorder="1" applyAlignment="1">
      <alignment vertical="center" wrapText="1"/>
    </xf>
    <xf numFmtId="3" fontId="23" fillId="0" borderId="66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69" xfId="0" applyNumberFormat="1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73" xfId="0" applyFont="1" applyBorder="1" applyAlignment="1">
      <alignment horizontal="center" vertical="center"/>
    </xf>
    <xf numFmtId="0" fontId="23" fillId="0" borderId="73" xfId="0" applyFont="1" applyBorder="1" applyAlignment="1">
      <alignment/>
    </xf>
    <xf numFmtId="3" fontId="23" fillId="0" borderId="20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0" fontId="22" fillId="0" borderId="88" xfId="0" applyFont="1" applyBorder="1" applyAlignment="1">
      <alignment/>
    </xf>
    <xf numFmtId="0" fontId="22" fillId="0" borderId="0" xfId="0" applyFont="1" applyAlignment="1">
      <alignment wrapText="1"/>
    </xf>
    <xf numFmtId="0" fontId="44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3" fontId="4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43" fillId="0" borderId="63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" vertical="center"/>
    </xf>
    <xf numFmtId="0" fontId="30" fillId="0" borderId="49" xfId="0" applyFont="1" applyBorder="1" applyAlignment="1">
      <alignment horizontal="center"/>
    </xf>
    <xf numFmtId="0" fontId="30" fillId="0" borderId="19" xfId="0" applyFont="1" applyBorder="1" applyAlignment="1">
      <alignment/>
    </xf>
    <xf numFmtId="0" fontId="30" fillId="0" borderId="63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3" xfId="0" applyFont="1" applyBorder="1" applyAlignment="1">
      <alignment horizontal="center" vertical="center"/>
    </xf>
    <xf numFmtId="0" fontId="23" fillId="0" borderId="32" xfId="0" applyFont="1" applyBorder="1" applyAlignment="1">
      <alignment/>
    </xf>
    <xf numFmtId="0" fontId="23" fillId="0" borderId="33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2" fillId="0" borderId="6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78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left" vertical="center" wrapText="1"/>
    </xf>
    <xf numFmtId="3" fontId="4" fillId="0" borderId="92" xfId="0" applyNumberFormat="1" applyFont="1" applyFill="1" applyBorder="1" applyAlignment="1">
      <alignment/>
    </xf>
    <xf numFmtId="0" fontId="84" fillId="0" borderId="0" xfId="53" applyFont="1">
      <alignment/>
      <protection/>
    </xf>
    <xf numFmtId="167" fontId="1" fillId="0" borderId="25" xfId="42" applyNumberFormat="1" applyFont="1" applyBorder="1" applyAlignment="1">
      <alignment horizontal="right" vertical="center" wrapText="1"/>
    </xf>
    <xf numFmtId="167" fontId="1" fillId="0" borderId="46" xfId="42" applyNumberFormat="1" applyFont="1" applyBorder="1" applyAlignment="1">
      <alignment horizontal="right" vertical="center" wrapText="1"/>
    </xf>
    <xf numFmtId="167" fontId="4" fillId="0" borderId="16" xfId="42" applyNumberFormat="1" applyFont="1" applyBorder="1" applyAlignment="1">
      <alignment horizontal="right" vertical="center" wrapText="1"/>
    </xf>
    <xf numFmtId="167" fontId="4" fillId="0" borderId="37" xfId="42" applyNumberFormat="1" applyFont="1" applyBorder="1" applyAlignment="1">
      <alignment horizontal="right" vertical="center" wrapText="1"/>
    </xf>
    <xf numFmtId="167" fontId="4" fillId="0" borderId="24" xfId="42" applyNumberFormat="1" applyFont="1" applyBorder="1" applyAlignment="1">
      <alignment horizontal="right" vertical="center" wrapText="1"/>
    </xf>
    <xf numFmtId="167" fontId="4" fillId="0" borderId="61" xfId="42" applyNumberFormat="1" applyFont="1" applyBorder="1" applyAlignment="1">
      <alignment horizontal="right" vertical="center" wrapText="1"/>
    </xf>
    <xf numFmtId="167" fontId="1" fillId="0" borderId="34" xfId="42" applyNumberFormat="1" applyFont="1" applyBorder="1" applyAlignment="1">
      <alignment horizontal="right" vertical="center" wrapText="1"/>
    </xf>
    <xf numFmtId="167" fontId="1" fillId="0" borderId="79" xfId="42" applyNumberFormat="1" applyFont="1" applyBorder="1" applyAlignment="1">
      <alignment horizontal="right" vertical="center" wrapText="1"/>
    </xf>
    <xf numFmtId="167" fontId="4" fillId="0" borderId="17" xfId="42" applyNumberFormat="1" applyFont="1" applyBorder="1" applyAlignment="1">
      <alignment horizontal="right" vertical="center" wrapText="1"/>
    </xf>
    <xf numFmtId="167" fontId="4" fillId="0" borderId="50" xfId="42" applyNumberFormat="1" applyFont="1" applyBorder="1" applyAlignment="1">
      <alignment horizontal="right" vertical="center" wrapText="1"/>
    </xf>
    <xf numFmtId="167" fontId="1" fillId="0" borderId="34" xfId="0" applyNumberFormat="1" applyFont="1" applyBorder="1" applyAlignment="1">
      <alignment horizontal="right" vertical="center" wrapText="1"/>
    </xf>
    <xf numFmtId="167" fontId="1" fillId="0" borderId="79" xfId="0" applyNumberFormat="1" applyFont="1" applyBorder="1" applyAlignment="1">
      <alignment horizontal="right" vertical="center" wrapText="1"/>
    </xf>
    <xf numFmtId="167" fontId="1" fillId="0" borderId="16" xfId="0" applyNumberFormat="1" applyFont="1" applyBorder="1" applyAlignment="1">
      <alignment horizontal="right" vertical="center" wrapText="1"/>
    </xf>
    <xf numFmtId="167" fontId="1" fillId="0" borderId="37" xfId="0" applyNumberFormat="1" applyFont="1" applyBorder="1" applyAlignment="1">
      <alignment horizontal="right" vertical="center" wrapText="1"/>
    </xf>
    <xf numFmtId="167" fontId="1" fillId="0" borderId="17" xfId="0" applyNumberFormat="1" applyFont="1" applyBorder="1" applyAlignment="1">
      <alignment horizontal="right" vertical="center" wrapText="1"/>
    </xf>
    <xf numFmtId="167" fontId="1" fillId="0" borderId="50" xfId="0" applyNumberFormat="1" applyFont="1" applyBorder="1" applyAlignment="1">
      <alignment horizontal="right" vertical="center" wrapText="1"/>
    </xf>
    <xf numFmtId="167" fontId="85" fillId="0" borderId="79" xfId="42" applyNumberFormat="1" applyFont="1" applyBorder="1" applyAlignment="1">
      <alignment horizontal="right" vertical="center" wrapText="1"/>
    </xf>
    <xf numFmtId="167" fontId="83" fillId="0" borderId="37" xfId="42" applyNumberFormat="1" applyFont="1" applyBorder="1" applyAlignment="1">
      <alignment horizontal="right" vertical="center" wrapText="1"/>
    </xf>
    <xf numFmtId="167" fontId="83" fillId="0" borderId="50" xfId="42" applyNumberFormat="1" applyFont="1" applyBorder="1" applyAlignment="1">
      <alignment horizontal="right" vertical="center" wrapText="1"/>
    </xf>
    <xf numFmtId="167" fontId="85" fillId="0" borderId="46" xfId="42" applyNumberFormat="1" applyFont="1" applyBorder="1" applyAlignment="1">
      <alignment horizontal="right" vertical="center" wrapText="1"/>
    </xf>
    <xf numFmtId="167" fontId="83" fillId="0" borderId="61" xfId="42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0" borderId="0" xfId="53" applyFont="1" applyAlignment="1">
      <alignment wrapText="1"/>
      <protection/>
    </xf>
    <xf numFmtId="0" fontId="4" fillId="0" borderId="19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/>
    </xf>
    <xf numFmtId="3" fontId="0" fillId="0" borderId="97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/>
    </xf>
    <xf numFmtId="49" fontId="4" fillId="0" borderId="106" xfId="0" applyNumberFormat="1" applyFont="1" applyBorder="1" applyAlignment="1">
      <alignment horizontal="center" vertical="center" wrapText="1"/>
    </xf>
    <xf numFmtId="0" fontId="4" fillId="0" borderId="86" xfId="0" applyFont="1" applyBorder="1" applyAlignment="1">
      <alignment vertical="center" wrapText="1"/>
    </xf>
    <xf numFmtId="3" fontId="4" fillId="0" borderId="91" xfId="42" applyNumberFormat="1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34" fillId="34" borderId="73" xfId="0" applyNumberFormat="1" applyFont="1" applyFill="1" applyBorder="1" applyAlignment="1">
      <alignment horizontal="right" vertical="center" wrapText="1"/>
    </xf>
    <xf numFmtId="3" fontId="35" fillId="0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67" fontId="10" fillId="33" borderId="107" xfId="53" applyNumberFormat="1" applyFont="1" applyFill="1" applyBorder="1" applyAlignment="1">
      <alignment horizontal="right" vertical="center" wrapText="1"/>
      <protection/>
    </xf>
    <xf numFmtId="167" fontId="10" fillId="33" borderId="108" xfId="53" applyNumberFormat="1" applyFont="1" applyFill="1" applyBorder="1" applyAlignment="1">
      <alignment horizontal="right" vertical="center" wrapText="1"/>
      <protection/>
    </xf>
    <xf numFmtId="167" fontId="10" fillId="0" borderId="44" xfId="53" applyNumberFormat="1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70" xfId="0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74" xfId="0" applyFont="1" applyBorder="1" applyAlignment="1">
      <alignment horizontal="left" wrapText="1"/>
    </xf>
    <xf numFmtId="0" fontId="1" fillId="33" borderId="2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33" borderId="7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77" xfId="0" applyFont="1" applyFill="1" applyBorder="1" applyAlignment="1">
      <alignment horizontal="center"/>
    </xf>
    <xf numFmtId="0" fontId="10" fillId="33" borderId="81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8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0" borderId="43" xfId="53" applyFont="1" applyBorder="1" applyAlignment="1">
      <alignment horizontal="center" vertical="center"/>
      <protection/>
    </xf>
    <xf numFmtId="0" fontId="10" fillId="0" borderId="29" xfId="53" applyFont="1" applyBorder="1" applyAlignment="1">
      <alignment horizontal="center" vertical="center"/>
      <protection/>
    </xf>
    <xf numFmtId="0" fontId="10" fillId="0" borderId="44" xfId="53" applyFont="1" applyBorder="1" applyAlignment="1">
      <alignment horizontal="center" vertical="center"/>
      <protection/>
    </xf>
    <xf numFmtId="0" fontId="0" fillId="0" borderId="60" xfId="53" applyFont="1" applyBorder="1" applyAlignment="1">
      <alignment horizontal="center" vertical="top"/>
      <protection/>
    </xf>
    <xf numFmtId="0" fontId="0" fillId="0" borderId="33" xfId="53" applyFont="1" applyBorder="1" applyAlignment="1">
      <alignment horizontal="center" vertical="top"/>
      <protection/>
    </xf>
    <xf numFmtId="0" fontId="10" fillId="0" borderId="57" xfId="53" applyFont="1" applyBorder="1" applyAlignment="1">
      <alignment horizontal="center"/>
      <protection/>
    </xf>
    <xf numFmtId="0" fontId="10" fillId="0" borderId="39" xfId="53" applyFont="1" applyBorder="1" applyAlignment="1">
      <alignment horizontal="center"/>
      <protection/>
    </xf>
    <xf numFmtId="0" fontId="0" fillId="0" borderId="61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0" fillId="0" borderId="46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10" fillId="33" borderId="55" xfId="53" applyFont="1" applyFill="1" applyBorder="1" applyAlignment="1">
      <alignment horizontal="center" vertical="center" wrapText="1"/>
      <protection/>
    </xf>
    <xf numFmtId="0" fontId="10" fillId="33" borderId="57" xfId="53" applyFont="1" applyFill="1" applyBorder="1" applyAlignment="1">
      <alignment horizontal="center" vertical="center" wrapText="1"/>
      <protection/>
    </xf>
    <xf numFmtId="0" fontId="10" fillId="33" borderId="109" xfId="53" applyFont="1" applyFill="1" applyBorder="1" applyAlignment="1">
      <alignment horizontal="center" vertical="center" wrapText="1"/>
      <protection/>
    </xf>
    <xf numFmtId="0" fontId="10" fillId="33" borderId="108" xfId="53" applyFont="1" applyFill="1" applyBorder="1" applyAlignment="1">
      <alignment horizontal="center" vertical="center" wrapText="1"/>
      <protection/>
    </xf>
    <xf numFmtId="0" fontId="10" fillId="33" borderId="35" xfId="53" applyFont="1" applyFill="1" applyBorder="1" applyAlignment="1">
      <alignment horizontal="center" vertical="center" wrapText="1"/>
      <protection/>
    </xf>
    <xf numFmtId="0" fontId="10" fillId="33" borderId="53" xfId="53" applyFont="1" applyFill="1" applyBorder="1" applyAlignment="1">
      <alignment horizontal="center" vertical="center" wrapText="1"/>
      <protection/>
    </xf>
    <xf numFmtId="0" fontId="10" fillId="33" borderId="81" xfId="53" applyFont="1" applyFill="1" applyBorder="1" applyAlignment="1">
      <alignment horizontal="center" vertical="center" wrapText="1"/>
      <protection/>
    </xf>
    <xf numFmtId="0" fontId="10" fillId="33" borderId="30" xfId="53" applyFont="1" applyFill="1" applyBorder="1" applyAlignment="1">
      <alignment horizontal="center" vertical="center" wrapText="1"/>
      <protection/>
    </xf>
    <xf numFmtId="0" fontId="0" fillId="0" borderId="49" xfId="53" applyFont="1" applyBorder="1" applyAlignment="1">
      <alignment horizontal="center" vertical="top" wrapText="1"/>
      <protection/>
    </xf>
    <xf numFmtId="0" fontId="0" fillId="0" borderId="11" xfId="53" applyFont="1" applyBorder="1" applyAlignment="1">
      <alignment horizontal="center" vertical="top" wrapText="1"/>
      <protection/>
    </xf>
    <xf numFmtId="0" fontId="10" fillId="33" borderId="79" xfId="53" applyFont="1" applyFill="1" applyBorder="1" applyAlignment="1">
      <alignment horizontal="center" vertical="center" wrapText="1"/>
      <protection/>
    </xf>
    <xf numFmtId="0" fontId="10" fillId="33" borderId="39" xfId="53" applyFont="1" applyFill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top" wrapText="1"/>
      <protection/>
    </xf>
    <xf numFmtId="0" fontId="0" fillId="0" borderId="13" xfId="53" applyFont="1" applyBorder="1" applyAlignment="1">
      <alignment horizontal="center" vertical="top" wrapText="1"/>
      <protection/>
    </xf>
    <xf numFmtId="0" fontId="10" fillId="0" borderId="110" xfId="53" applyFont="1" applyBorder="1" applyAlignment="1">
      <alignment horizontal="left" vertical="top" wrapText="1"/>
      <protection/>
    </xf>
    <xf numFmtId="0" fontId="10" fillId="0" borderId="111" xfId="53" applyFont="1" applyBorder="1" applyAlignment="1">
      <alignment horizontal="left" vertical="top" wrapText="1"/>
      <protection/>
    </xf>
    <xf numFmtId="0" fontId="10" fillId="0" borderId="89" xfId="53" applyFont="1" applyBorder="1" applyAlignment="1">
      <alignment horizontal="left" vertical="top" wrapText="1"/>
      <protection/>
    </xf>
    <xf numFmtId="0" fontId="10" fillId="0" borderId="55" xfId="53" applyFont="1" applyBorder="1" applyAlignment="1">
      <alignment horizontal="center" vertical="center" wrapText="1"/>
      <protection/>
    </xf>
    <xf numFmtId="0" fontId="10" fillId="0" borderId="56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10" fillId="33" borderId="34" xfId="53" applyFont="1" applyFill="1" applyBorder="1" applyAlignment="1">
      <alignment horizontal="center"/>
      <protection/>
    </xf>
    <xf numFmtId="0" fontId="10" fillId="33" borderId="79" xfId="53" applyFont="1" applyFill="1" applyBorder="1" applyAlignment="1">
      <alignment horizontal="center"/>
      <protection/>
    </xf>
    <xf numFmtId="0" fontId="10" fillId="33" borderId="80" xfId="53" applyFont="1" applyFill="1" applyBorder="1" applyAlignment="1">
      <alignment horizontal="center" vertical="center" wrapText="1"/>
      <protection/>
    </xf>
    <xf numFmtId="0" fontId="10" fillId="33" borderId="36" xfId="53" applyFont="1" applyFill="1" applyBorder="1" applyAlignment="1">
      <alignment horizontal="center" vertical="center" wrapText="1"/>
      <protection/>
    </xf>
    <xf numFmtId="0" fontId="10" fillId="33" borderId="34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33" borderId="16" xfId="53" applyFont="1" applyFill="1" applyBorder="1" applyAlignment="1">
      <alignment horizontal="center"/>
      <protection/>
    </xf>
    <xf numFmtId="0" fontId="10" fillId="33" borderId="37" xfId="53" applyFont="1" applyFill="1" applyBorder="1" applyAlignment="1">
      <alignment horizontal="center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0" fillId="0" borderId="48" xfId="53" applyFont="1" applyBorder="1" applyAlignment="1">
      <alignment horizontal="center" vertical="top" wrapText="1"/>
      <protection/>
    </xf>
    <xf numFmtId="0" fontId="0" fillId="0" borderId="57" xfId="53" applyFont="1" applyBorder="1" applyAlignment="1">
      <alignment horizontal="center" vertical="top" wrapText="1"/>
      <protection/>
    </xf>
    <xf numFmtId="0" fontId="10" fillId="0" borderId="48" xfId="53" applyFont="1" applyBorder="1" applyAlignment="1">
      <alignment horizontal="left" vertical="top" wrapText="1"/>
      <protection/>
    </xf>
    <xf numFmtId="0" fontId="10" fillId="0" borderId="57" xfId="53" applyFont="1" applyBorder="1" applyAlignment="1">
      <alignment horizontal="left" vertical="top" wrapText="1"/>
      <protection/>
    </xf>
    <xf numFmtId="0" fontId="10" fillId="0" borderId="49" xfId="53" applyFont="1" applyBorder="1" applyAlignment="1">
      <alignment horizontal="left" vertical="top" wrapText="1"/>
      <protection/>
    </xf>
    <xf numFmtId="0" fontId="0" fillId="33" borderId="28" xfId="53" applyFont="1" applyFill="1" applyBorder="1" applyAlignment="1">
      <alignment horizontal="center" vertical="top" wrapText="1"/>
      <protection/>
    </xf>
    <xf numFmtId="0" fontId="0" fillId="33" borderId="11" xfId="53" applyFont="1" applyFill="1" applyBorder="1" applyAlignment="1">
      <alignment horizontal="center" vertical="top" wrapText="1"/>
      <protection/>
    </xf>
    <xf numFmtId="167" fontId="10" fillId="33" borderId="112" xfId="53" applyNumberFormat="1" applyFont="1" applyFill="1" applyBorder="1" applyAlignment="1">
      <alignment horizontal="center" vertical="center" wrapText="1"/>
      <protection/>
    </xf>
    <xf numFmtId="0" fontId="10" fillId="33" borderId="111" xfId="53" applyFont="1" applyFill="1" applyBorder="1" applyAlignment="1">
      <alignment horizontal="center" vertical="center" wrapText="1"/>
      <protection/>
    </xf>
    <xf numFmtId="0" fontId="0" fillId="0" borderId="112" xfId="53" applyFont="1" applyBorder="1" applyAlignment="1">
      <alignment horizontal="center"/>
      <protection/>
    </xf>
    <xf numFmtId="0" fontId="0" fillId="0" borderId="111" xfId="53" applyFont="1" applyBorder="1" applyAlignment="1">
      <alignment horizontal="center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62" xfId="53" applyFont="1" applyBorder="1" applyAlignment="1">
      <alignment horizontal="center" vertical="center" wrapText="1"/>
      <protection/>
    </xf>
    <xf numFmtId="0" fontId="0" fillId="0" borderId="112" xfId="53" applyFont="1" applyBorder="1" applyAlignment="1">
      <alignment horizontal="center" vertical="top"/>
      <protection/>
    </xf>
    <xf numFmtId="0" fontId="0" fillId="0" borderId="111" xfId="53" applyFont="1" applyBorder="1" applyAlignment="1">
      <alignment horizontal="center" vertical="top"/>
      <protection/>
    </xf>
    <xf numFmtId="0" fontId="0" fillId="0" borderId="89" xfId="53" applyFont="1" applyBorder="1" applyAlignment="1">
      <alignment horizontal="center"/>
      <protection/>
    </xf>
    <xf numFmtId="0" fontId="0" fillId="0" borderId="60" xfId="53" applyFont="1" applyBorder="1" applyAlignment="1">
      <alignment horizontal="center" vertical="top" wrapText="1"/>
      <protection/>
    </xf>
    <xf numFmtId="0" fontId="0" fillId="0" borderId="33" xfId="53" applyFont="1" applyBorder="1" applyAlignment="1">
      <alignment horizontal="center" vertical="top" wrapText="1"/>
      <protection/>
    </xf>
    <xf numFmtId="0" fontId="0" fillId="0" borderId="65" xfId="53" applyFont="1" applyBorder="1" applyAlignment="1">
      <alignment horizontal="center" vertical="top" wrapText="1"/>
      <protection/>
    </xf>
    <xf numFmtId="0" fontId="10" fillId="0" borderId="55" xfId="53" applyFont="1" applyBorder="1" applyAlignment="1">
      <alignment horizontal="center"/>
      <protection/>
    </xf>
    <xf numFmtId="0" fontId="10" fillId="0" borderId="56" xfId="53" applyFont="1" applyBorder="1" applyAlignment="1">
      <alignment horizontal="center"/>
      <protection/>
    </xf>
    <xf numFmtId="0" fontId="0" fillId="33" borderId="33" xfId="53" applyFont="1" applyFill="1" applyBorder="1" applyAlignment="1">
      <alignment horizontal="center" vertical="top"/>
      <protection/>
    </xf>
    <xf numFmtId="0" fontId="10" fillId="33" borderId="21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65" xfId="53" applyFont="1" applyBorder="1" applyAlignment="1">
      <alignment horizontal="center" vertical="top"/>
      <protection/>
    </xf>
    <xf numFmtId="0" fontId="0" fillId="0" borderId="51" xfId="53" applyFont="1" applyBorder="1" applyAlignment="1">
      <alignment horizontal="center" vertical="top"/>
      <protection/>
    </xf>
    <xf numFmtId="0" fontId="10" fillId="0" borderId="48" xfId="53" applyFont="1" applyBorder="1" applyAlignment="1">
      <alignment horizontal="center"/>
      <protection/>
    </xf>
    <xf numFmtId="0" fontId="10" fillId="0" borderId="62" xfId="53" applyFont="1" applyBorder="1" applyAlignment="1">
      <alignment horizontal="center"/>
      <protection/>
    </xf>
    <xf numFmtId="0" fontId="0" fillId="0" borderId="64" xfId="53" applyFont="1" applyBorder="1" applyAlignment="1">
      <alignment horizontal="center"/>
      <protection/>
    </xf>
    <xf numFmtId="0" fontId="10" fillId="33" borderId="72" xfId="53" applyFont="1" applyFill="1" applyBorder="1" applyAlignment="1">
      <alignment horizontal="center" vertical="top" wrapText="1"/>
      <protection/>
    </xf>
    <xf numFmtId="0" fontId="10" fillId="33" borderId="33" xfId="53" applyFont="1" applyFill="1" applyBorder="1" applyAlignment="1">
      <alignment horizontal="center" vertical="top" wrapText="1"/>
      <protection/>
    </xf>
    <xf numFmtId="0" fontId="10" fillId="33" borderId="61" xfId="53" applyFont="1" applyFill="1" applyBorder="1" applyAlignment="1">
      <alignment horizontal="center" vertical="top"/>
      <protection/>
    </xf>
    <xf numFmtId="0" fontId="10" fillId="33" borderId="18" xfId="53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1" fillId="33" borderId="72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81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left" vertical="center" wrapText="1"/>
    </xf>
    <xf numFmtId="0" fontId="11" fillId="33" borderId="39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62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9" fontId="5" fillId="0" borderId="6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34" borderId="7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/>
    </xf>
    <xf numFmtId="0" fontId="7" fillId="33" borderId="113" xfId="0" applyFont="1" applyFill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3" borderId="115" xfId="0" applyFont="1" applyFill="1" applyBorder="1" applyAlignment="1">
      <alignment horizontal="left" vertical="center" wrapText="1"/>
    </xf>
    <xf numFmtId="0" fontId="5" fillId="0" borderId="116" xfId="0" applyFont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6" borderId="7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/>
    </xf>
    <xf numFmtId="0" fontId="7" fillId="33" borderId="64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6" borderId="7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/>
    </xf>
    <xf numFmtId="0" fontId="7" fillId="33" borderId="59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0" fontId="7" fillId="33" borderId="114" xfId="0" applyFont="1" applyFill="1" applyBorder="1" applyAlignment="1">
      <alignment horizontal="left" vertical="center" wrapText="1"/>
    </xf>
    <xf numFmtId="0" fontId="7" fillId="33" borderId="117" xfId="0" applyFont="1" applyFill="1" applyBorder="1" applyAlignment="1">
      <alignment horizontal="left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2" fillId="34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5" fillId="34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7" fillId="36" borderId="113" xfId="0" applyFont="1" applyFill="1" applyBorder="1" applyAlignment="1">
      <alignment horizontal="left" vertical="center" wrapText="1"/>
    </xf>
    <xf numFmtId="9" fontId="5" fillId="0" borderId="18" xfId="0" applyNumberFormat="1" applyFont="1" applyBorder="1" applyAlignment="1">
      <alignment horizontal="center" wrapText="1"/>
    </xf>
    <xf numFmtId="9" fontId="5" fillId="0" borderId="64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38" borderId="73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9" borderId="73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1" fillId="38" borderId="81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80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7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Małgosia - Projekt budżetu na 2005 r. - TABELE" xfId="53"/>
    <cellStyle name="Normalny_Wieloletni 19-12-01 (1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472"/>
  <sheetViews>
    <sheetView showGridLines="0"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6.00390625" style="59" customWidth="1"/>
    <col min="2" max="2" width="10.625" style="59" customWidth="1"/>
    <col min="3" max="3" width="9.125" style="561" customWidth="1"/>
    <col min="4" max="4" width="72.125" style="59" customWidth="1"/>
    <col min="5" max="5" width="19.625" style="1135" customWidth="1"/>
    <col min="6" max="6" width="22.125" style="1135" customWidth="1"/>
    <col min="7" max="7" width="21.375" style="736" customWidth="1"/>
    <col min="8" max="8" width="9.125" style="59" customWidth="1"/>
    <col min="9" max="9" width="10.875" style="59" bestFit="1" customWidth="1"/>
    <col min="10" max="10" width="12.00390625" style="59" bestFit="1" customWidth="1"/>
    <col min="11" max="16384" width="9.125" style="59" customWidth="1"/>
  </cols>
  <sheetData>
    <row r="1" spans="1:7" ht="45">
      <c r="A1" s="556"/>
      <c r="B1" s="557"/>
      <c r="C1" s="558"/>
      <c r="D1" s="559"/>
      <c r="G1" s="560" t="s">
        <v>624</v>
      </c>
    </row>
    <row r="2" spans="1:7" ht="4.5" customHeight="1">
      <c r="A2" s="556"/>
      <c r="B2" s="557"/>
      <c r="C2" s="558"/>
      <c r="D2" s="559"/>
      <c r="G2" s="1135"/>
    </row>
    <row r="3" spans="1:7" ht="14.25" customHeight="1">
      <c r="A3" s="1339" t="s">
        <v>570</v>
      </c>
      <c r="B3" s="1339"/>
      <c r="C3" s="1339"/>
      <c r="D3" s="1339"/>
      <c r="E3" s="1339"/>
      <c r="F3" s="1339"/>
      <c r="G3" s="1339"/>
    </row>
    <row r="4" spans="1:7" ht="15" customHeight="1">
      <c r="A4" s="1328" t="s">
        <v>430</v>
      </c>
      <c r="B4" s="1328"/>
      <c r="C4" s="1328"/>
      <c r="D4" s="1328"/>
      <c r="E4" s="1328"/>
      <c r="F4" s="1328"/>
      <c r="G4" s="1328"/>
    </row>
    <row r="5" spans="5:7" ht="11.25" customHeight="1" thickBot="1">
      <c r="E5" s="1136"/>
      <c r="F5" s="1137"/>
      <c r="G5" s="206" t="s">
        <v>116</v>
      </c>
    </row>
    <row r="6" spans="2:7" s="562" customFormat="1" ht="14.25" customHeight="1">
      <c r="B6" s="1340" t="s">
        <v>440</v>
      </c>
      <c r="C6" s="1342" t="s">
        <v>592</v>
      </c>
      <c r="D6" s="1343"/>
      <c r="E6" s="1337" t="s">
        <v>421</v>
      </c>
      <c r="F6" s="1346" t="s">
        <v>78</v>
      </c>
      <c r="G6" s="1347"/>
    </row>
    <row r="7" spans="1:7" s="562" customFormat="1" ht="32.25" customHeight="1">
      <c r="A7" s="563"/>
      <c r="B7" s="1341"/>
      <c r="C7" s="1344"/>
      <c r="D7" s="1345"/>
      <c r="E7" s="1338"/>
      <c r="F7" s="564" t="s">
        <v>23</v>
      </c>
      <c r="G7" s="565" t="s">
        <v>24</v>
      </c>
    </row>
    <row r="8" spans="1:8" s="572" customFormat="1" ht="12" thickBot="1">
      <c r="A8" s="566"/>
      <c r="B8" s="567">
        <v>1</v>
      </c>
      <c r="C8" s="1329">
        <v>2</v>
      </c>
      <c r="D8" s="1330"/>
      <c r="E8" s="568">
        <v>3</v>
      </c>
      <c r="F8" s="569">
        <v>4</v>
      </c>
      <c r="G8" s="570">
        <v>5</v>
      </c>
      <c r="H8" s="571"/>
    </row>
    <row r="9" spans="1:7" ht="3.75" customHeight="1">
      <c r="A9" s="559"/>
      <c r="B9" s="317"/>
      <c r="C9" s="364"/>
      <c r="D9" s="347"/>
      <c r="E9" s="1138"/>
      <c r="F9" s="1139"/>
      <c r="G9" s="1140"/>
    </row>
    <row r="10" spans="1:7" ht="27.75" customHeight="1">
      <c r="A10" s="559"/>
      <c r="B10" s="1141" t="s">
        <v>81</v>
      </c>
      <c r="C10" s="1331" t="s">
        <v>82</v>
      </c>
      <c r="D10" s="1332"/>
      <c r="E10" s="575">
        <f>E55</f>
        <v>230000</v>
      </c>
      <c r="F10" s="575">
        <f>F55</f>
        <v>230000</v>
      </c>
      <c r="G10" s="577">
        <f>G55</f>
        <v>0</v>
      </c>
    </row>
    <row r="11" spans="1:7" ht="12" customHeight="1">
      <c r="A11" s="559"/>
      <c r="B11" s="317"/>
      <c r="C11" s="364"/>
      <c r="D11" s="347"/>
      <c r="E11" s="1138"/>
      <c r="F11" s="1139"/>
      <c r="G11" s="1142"/>
    </row>
    <row r="12" spans="1:7" ht="14.25" customHeight="1">
      <c r="A12" s="559"/>
      <c r="B12" s="321">
        <v>600</v>
      </c>
      <c r="C12" s="363" t="s">
        <v>441</v>
      </c>
      <c r="D12" s="348"/>
      <c r="E12" s="575">
        <f>E60+E301</f>
        <v>1600000</v>
      </c>
      <c r="F12" s="575">
        <f>F60+F301</f>
        <v>300000</v>
      </c>
      <c r="G12" s="577">
        <f>G60+G301</f>
        <v>1300000</v>
      </c>
    </row>
    <row r="13" spans="1:7" ht="14.25" customHeight="1" hidden="1">
      <c r="A13" s="559"/>
      <c r="B13" s="317"/>
      <c r="C13" s="364"/>
      <c r="D13" s="347"/>
      <c r="E13" s="542"/>
      <c r="F13" s="542"/>
      <c r="G13" s="579"/>
    </row>
    <row r="14" spans="1:7" ht="14.25" customHeight="1" hidden="1">
      <c r="A14" s="559"/>
      <c r="B14" s="321">
        <v>630</v>
      </c>
      <c r="C14" s="363" t="s">
        <v>442</v>
      </c>
      <c r="D14" s="348"/>
      <c r="E14" s="575">
        <f>E66</f>
        <v>0</v>
      </c>
      <c r="F14" s="575">
        <f>F66</f>
        <v>0</v>
      </c>
      <c r="G14" s="577">
        <f>G66</f>
        <v>0</v>
      </c>
    </row>
    <row r="15" spans="1:7" ht="14.25" customHeight="1">
      <c r="A15" s="559"/>
      <c r="B15" s="317"/>
      <c r="C15" s="364"/>
      <c r="D15" s="347"/>
      <c r="E15" s="573"/>
      <c r="F15" s="574"/>
      <c r="G15" s="578"/>
    </row>
    <row r="16" spans="1:7" ht="14.25" customHeight="1">
      <c r="A16" s="559"/>
      <c r="B16" s="317">
        <v>700</v>
      </c>
      <c r="C16" s="364" t="s">
        <v>443</v>
      </c>
      <c r="D16" s="347"/>
      <c r="E16" s="575">
        <f>E70</f>
        <v>10958815</v>
      </c>
      <c r="F16" s="575">
        <f>F70</f>
        <v>167000</v>
      </c>
      <c r="G16" s="577">
        <f>G70</f>
        <v>10791815</v>
      </c>
    </row>
    <row r="17" spans="1:7" ht="14.25" customHeight="1">
      <c r="A17" s="559"/>
      <c r="B17" s="322"/>
      <c r="C17" s="365"/>
      <c r="D17" s="366"/>
      <c r="E17" s="580"/>
      <c r="F17" s="581"/>
      <c r="G17" s="582"/>
    </row>
    <row r="18" spans="1:7" ht="14.25" customHeight="1">
      <c r="A18" s="559"/>
      <c r="B18" s="321">
        <v>750</v>
      </c>
      <c r="C18" s="363" t="s">
        <v>446</v>
      </c>
      <c r="D18" s="348"/>
      <c r="E18" s="575">
        <f>E86+E248</f>
        <v>395607</v>
      </c>
      <c r="F18" s="575">
        <f>F86+F248</f>
        <v>381735</v>
      </c>
      <c r="G18" s="577">
        <f>G86+G248</f>
        <v>13872</v>
      </c>
    </row>
    <row r="19" spans="1:7" ht="9" customHeight="1">
      <c r="A19" s="559"/>
      <c r="B19" s="317"/>
      <c r="C19" s="364"/>
      <c r="D19" s="347"/>
      <c r="E19" s="542"/>
      <c r="F19" s="585"/>
      <c r="G19" s="463"/>
    </row>
    <row r="20" spans="1:7" ht="14.25" customHeight="1">
      <c r="A20" s="559"/>
      <c r="B20" s="317">
        <v>751</v>
      </c>
      <c r="C20" s="364" t="s">
        <v>25</v>
      </c>
      <c r="D20" s="347"/>
      <c r="E20" s="584"/>
      <c r="F20" s="585"/>
      <c r="G20" s="463"/>
    </row>
    <row r="21" spans="1:7" ht="11.25" customHeight="1">
      <c r="A21" s="559"/>
      <c r="B21" s="317"/>
      <c r="C21" s="364" t="s">
        <v>74</v>
      </c>
      <c r="D21" s="347"/>
      <c r="E21" s="542">
        <f>E256</f>
        <v>6780</v>
      </c>
      <c r="F21" s="542">
        <f>F256</f>
        <v>6780</v>
      </c>
      <c r="G21" s="579">
        <f>G256</f>
        <v>0</v>
      </c>
    </row>
    <row r="22" spans="1:7" ht="14.25" customHeight="1">
      <c r="A22" s="559"/>
      <c r="B22" s="322"/>
      <c r="C22" s="365"/>
      <c r="D22" s="366"/>
      <c r="E22" s="597"/>
      <c r="F22" s="591"/>
      <c r="G22" s="592"/>
    </row>
    <row r="23" spans="1:7" ht="14.25" customHeight="1">
      <c r="A23" s="559"/>
      <c r="B23" s="317">
        <v>754</v>
      </c>
      <c r="C23" s="364" t="s">
        <v>448</v>
      </c>
      <c r="D23" s="347"/>
      <c r="E23" s="584"/>
      <c r="F23" s="585"/>
      <c r="G23" s="463"/>
    </row>
    <row r="24" spans="1:7" ht="14.25" customHeight="1">
      <c r="A24" s="559"/>
      <c r="B24" s="316"/>
      <c r="C24" s="363" t="s">
        <v>449</v>
      </c>
      <c r="D24" s="348"/>
      <c r="E24" s="575">
        <f>E99</f>
        <v>35000</v>
      </c>
      <c r="F24" s="575">
        <f>F99</f>
        <v>35000</v>
      </c>
      <c r="G24" s="577">
        <f>G99</f>
        <v>0</v>
      </c>
    </row>
    <row r="25" spans="1:7" ht="6" customHeight="1">
      <c r="A25" s="559"/>
      <c r="B25" s="818"/>
      <c r="C25" s="364"/>
      <c r="D25" s="347"/>
      <c r="E25" s="542"/>
      <c r="F25" s="585"/>
      <c r="G25" s="463"/>
    </row>
    <row r="26" spans="1:7" ht="14.25" customHeight="1">
      <c r="A26" s="559"/>
      <c r="B26" s="317">
        <v>756</v>
      </c>
      <c r="C26" s="364" t="s">
        <v>26</v>
      </c>
      <c r="D26" s="347"/>
      <c r="E26" s="584"/>
      <c r="F26" s="585"/>
      <c r="G26" s="463"/>
    </row>
    <row r="27" spans="1:7" ht="14.25" customHeight="1">
      <c r="A27" s="559"/>
      <c r="B27" s="317"/>
      <c r="C27" s="364" t="s">
        <v>60</v>
      </c>
      <c r="D27" s="347"/>
      <c r="E27" s="587"/>
      <c r="F27" s="588"/>
      <c r="G27" s="589"/>
    </row>
    <row r="28" spans="1:7" ht="14.25" customHeight="1">
      <c r="A28" s="559"/>
      <c r="B28" s="317"/>
      <c r="C28" s="364" t="s">
        <v>300</v>
      </c>
      <c r="D28" s="347"/>
      <c r="E28" s="575">
        <f>E109</f>
        <v>66595793</v>
      </c>
      <c r="F28" s="575">
        <f>F109</f>
        <v>66595793</v>
      </c>
      <c r="G28" s="577">
        <f>G109</f>
        <v>0</v>
      </c>
    </row>
    <row r="29" spans="1:7" ht="14.25" customHeight="1">
      <c r="A29" s="559"/>
      <c r="B29" s="322"/>
      <c r="C29" s="365"/>
      <c r="D29" s="366"/>
      <c r="E29" s="590"/>
      <c r="F29" s="591"/>
      <c r="G29" s="592"/>
    </row>
    <row r="30" spans="1:7" ht="14.25" customHeight="1">
      <c r="A30" s="559"/>
      <c r="B30" s="324">
        <v>758</v>
      </c>
      <c r="C30" s="363" t="s">
        <v>450</v>
      </c>
      <c r="D30" s="348"/>
      <c r="E30" s="575">
        <f>E151</f>
        <v>19249169</v>
      </c>
      <c r="F30" s="575">
        <f>F151</f>
        <v>19249169</v>
      </c>
      <c r="G30" s="577">
        <f>G151</f>
        <v>0</v>
      </c>
    </row>
    <row r="31" spans="1:7" ht="14.25" customHeight="1">
      <c r="A31" s="559"/>
      <c r="B31" s="320"/>
      <c r="C31" s="364"/>
      <c r="D31" s="347"/>
      <c r="E31" s="584"/>
      <c r="F31" s="585"/>
      <c r="G31" s="463"/>
    </row>
    <row r="32" spans="1:7" ht="14.25" customHeight="1">
      <c r="A32" s="559"/>
      <c r="B32" s="320">
        <v>801</v>
      </c>
      <c r="C32" s="364" t="s">
        <v>451</v>
      </c>
      <c r="D32" s="347"/>
      <c r="E32" s="575">
        <f>E162</f>
        <v>7000</v>
      </c>
      <c r="F32" s="575">
        <f>F162</f>
        <v>7000</v>
      </c>
      <c r="G32" s="577">
        <f>G162</f>
        <v>0</v>
      </c>
    </row>
    <row r="33" spans="1:7" ht="14.25" customHeight="1">
      <c r="A33" s="559"/>
      <c r="B33" s="325"/>
      <c r="C33" s="365"/>
      <c r="D33" s="366"/>
      <c r="E33" s="590"/>
      <c r="F33" s="591"/>
      <c r="G33" s="592"/>
    </row>
    <row r="34" spans="1:7" ht="14.25" customHeight="1">
      <c r="A34" s="559"/>
      <c r="B34" s="324">
        <v>851</v>
      </c>
      <c r="C34" s="363" t="s">
        <v>452</v>
      </c>
      <c r="D34" s="348"/>
      <c r="E34" s="575">
        <f>E167+E263</f>
        <v>3500</v>
      </c>
      <c r="F34" s="575">
        <f>F167+F263</f>
        <v>3500</v>
      </c>
      <c r="G34" s="577">
        <f>G167+G263</f>
        <v>0</v>
      </c>
    </row>
    <row r="35" spans="1:7" ht="14.25" customHeight="1">
      <c r="A35" s="559"/>
      <c r="B35" s="320"/>
      <c r="C35" s="364"/>
      <c r="D35" s="347"/>
      <c r="E35" s="584"/>
      <c r="F35" s="585"/>
      <c r="G35" s="463"/>
    </row>
    <row r="36" spans="1:7" ht="14.25" customHeight="1">
      <c r="A36" s="559"/>
      <c r="B36" s="593">
        <v>852</v>
      </c>
      <c r="C36" s="594" t="s">
        <v>297</v>
      </c>
      <c r="D36" s="595"/>
      <c r="E36" s="575">
        <f>E172+E270</f>
        <v>10354350</v>
      </c>
      <c r="F36" s="575">
        <f>F172+F270</f>
        <v>10354350</v>
      </c>
      <c r="G36" s="577">
        <f>G172+G270</f>
        <v>0</v>
      </c>
    </row>
    <row r="37" spans="1:7" ht="14.25" customHeight="1">
      <c r="A37" s="559"/>
      <c r="B37" s="320"/>
      <c r="C37" s="364"/>
      <c r="D37" s="347"/>
      <c r="E37" s="597"/>
      <c r="F37" s="585"/>
      <c r="G37" s="463"/>
    </row>
    <row r="38" spans="1:7" ht="14.25" customHeight="1">
      <c r="A38" s="559"/>
      <c r="B38" s="320">
        <v>853</v>
      </c>
      <c r="C38" s="364" t="s">
        <v>61</v>
      </c>
      <c r="D38" s="347"/>
      <c r="E38" s="575">
        <f>E195+E309+E325</f>
        <v>1756896</v>
      </c>
      <c r="F38" s="575">
        <f>F195+F309+F325</f>
        <v>1756896</v>
      </c>
      <c r="G38" s="577">
        <f>G195+G309+G325</f>
        <v>0</v>
      </c>
    </row>
    <row r="39" spans="1:7" ht="14.25" customHeight="1">
      <c r="A39" s="559"/>
      <c r="B39" s="325"/>
      <c r="C39" s="365"/>
      <c r="D39" s="366"/>
      <c r="E39" s="590"/>
      <c r="F39" s="591"/>
      <c r="G39" s="592"/>
    </row>
    <row r="40" spans="1:7" ht="14.25" customHeight="1">
      <c r="A40" s="559"/>
      <c r="B40" s="324">
        <v>900</v>
      </c>
      <c r="C40" s="363" t="s">
        <v>389</v>
      </c>
      <c r="D40" s="348"/>
      <c r="E40" s="575">
        <f>E201</f>
        <v>6749064</v>
      </c>
      <c r="F40" s="575">
        <f>F201</f>
        <v>4294385</v>
      </c>
      <c r="G40" s="577">
        <f>G201</f>
        <v>2454679</v>
      </c>
    </row>
    <row r="41" spans="1:7" ht="14.25" customHeight="1" hidden="1">
      <c r="A41" s="559"/>
      <c r="B41" s="317"/>
      <c r="C41" s="364"/>
      <c r="D41" s="347"/>
      <c r="E41" s="584"/>
      <c r="F41" s="585"/>
      <c r="G41" s="463"/>
    </row>
    <row r="42" spans="1:7" ht="14.25" customHeight="1" hidden="1">
      <c r="A42" s="559"/>
      <c r="B42" s="321">
        <v>921</v>
      </c>
      <c r="C42" s="363" t="s">
        <v>7</v>
      </c>
      <c r="D42" s="348"/>
      <c r="E42" s="575">
        <f>E229</f>
        <v>0</v>
      </c>
      <c r="F42" s="575">
        <f>F229</f>
        <v>0</v>
      </c>
      <c r="G42" s="577">
        <f>G229</f>
        <v>0</v>
      </c>
    </row>
    <row r="43" spans="1:7" ht="14.25" customHeight="1">
      <c r="A43" s="559"/>
      <c r="B43" s="317"/>
      <c r="C43" s="364"/>
      <c r="D43" s="347"/>
      <c r="E43" s="584"/>
      <c r="F43" s="584"/>
      <c r="G43" s="463"/>
    </row>
    <row r="44" spans="1:7" ht="14.25" customHeight="1" thickBot="1">
      <c r="A44" s="559"/>
      <c r="B44" s="318">
        <v>926</v>
      </c>
      <c r="C44" s="367" t="s">
        <v>88</v>
      </c>
      <c r="D44" s="368"/>
      <c r="E44" s="575">
        <f>E234</f>
        <v>666000</v>
      </c>
      <c r="F44" s="575">
        <f>F234</f>
        <v>0</v>
      </c>
      <c r="G44" s="577">
        <f>G234</f>
        <v>666000</v>
      </c>
    </row>
    <row r="45" spans="1:7" ht="14.25" customHeight="1">
      <c r="A45" s="559"/>
      <c r="B45" s="600"/>
      <c r="C45" s="358"/>
      <c r="D45" s="349"/>
      <c r="E45" s="601"/>
      <c r="F45" s="602"/>
      <c r="G45" s="603"/>
    </row>
    <row r="46" spans="1:9" ht="21.75" customHeight="1" thickBot="1">
      <c r="A46" s="559"/>
      <c r="B46" s="604"/>
      <c r="C46" s="605" t="s">
        <v>457</v>
      </c>
      <c r="D46" s="606"/>
      <c r="E46" s="607">
        <f>SUM(E10:E44)</f>
        <v>118607974</v>
      </c>
      <c r="F46" s="608">
        <f>SUM(F10:F44)</f>
        <v>103381608</v>
      </c>
      <c r="G46" s="609">
        <f>SUM(G10:G44)</f>
        <v>15226366</v>
      </c>
      <c r="I46" s="610"/>
    </row>
    <row r="47" spans="1:7" ht="14.25" customHeight="1">
      <c r="A47" s="1348" t="s">
        <v>426</v>
      </c>
      <c r="B47" s="1348"/>
      <c r="C47" s="1348"/>
      <c r="D47" s="1348"/>
      <c r="E47" s="1348"/>
      <c r="F47" s="1348"/>
      <c r="G47" s="1348"/>
    </row>
    <row r="48" spans="1:7" ht="14.25" customHeight="1">
      <c r="A48" s="1328" t="s">
        <v>425</v>
      </c>
      <c r="B48" s="1328"/>
      <c r="C48" s="1328"/>
      <c r="D48" s="1328"/>
      <c r="E48" s="1328"/>
      <c r="F48" s="1328"/>
      <c r="G48" s="1328"/>
    </row>
    <row r="49" spans="1:7" ht="14.25" customHeight="1">
      <c r="A49" s="611"/>
      <c r="B49" s="612"/>
      <c r="C49" s="613"/>
      <c r="D49" s="612"/>
      <c r="E49" s="1143"/>
      <c r="G49" s="1135"/>
    </row>
    <row r="50" spans="1:7" ht="14.25" customHeight="1" thickBot="1">
      <c r="A50" s="611"/>
      <c r="B50" s="612"/>
      <c r="C50" s="613"/>
      <c r="D50" s="612"/>
      <c r="E50" s="777"/>
      <c r="F50" s="614"/>
      <c r="G50" s="315" t="s">
        <v>116</v>
      </c>
    </row>
    <row r="51" spans="1:7" s="615" customFormat="1" ht="14.25" customHeight="1">
      <c r="A51" s="1333" t="s">
        <v>440</v>
      </c>
      <c r="B51" s="1335" t="s">
        <v>458</v>
      </c>
      <c r="C51" s="1335" t="s">
        <v>477</v>
      </c>
      <c r="D51" s="1335" t="s">
        <v>459</v>
      </c>
      <c r="E51" s="1337" t="s">
        <v>421</v>
      </c>
      <c r="F51" s="1346" t="s">
        <v>78</v>
      </c>
      <c r="G51" s="1347"/>
    </row>
    <row r="52" spans="1:7" s="616" customFormat="1" ht="12.75">
      <c r="A52" s="1334"/>
      <c r="B52" s="1336"/>
      <c r="C52" s="1336"/>
      <c r="D52" s="1336"/>
      <c r="E52" s="1338"/>
      <c r="F52" s="564" t="s">
        <v>23</v>
      </c>
      <c r="G52" s="565" t="s">
        <v>24</v>
      </c>
    </row>
    <row r="53" spans="1:7" s="572" customFormat="1" ht="14.25" customHeight="1" thickBot="1">
      <c r="A53" s="567">
        <v>1</v>
      </c>
      <c r="B53" s="617">
        <v>2</v>
      </c>
      <c r="C53" s="618">
        <v>3</v>
      </c>
      <c r="D53" s="617">
        <v>4</v>
      </c>
      <c r="E53" s="568">
        <v>5</v>
      </c>
      <c r="F53" s="569">
        <v>6</v>
      </c>
      <c r="G53" s="619">
        <v>7</v>
      </c>
    </row>
    <row r="54" spans="1:7" s="371" customFormat="1" ht="14.25" customHeight="1">
      <c r="A54" s="330"/>
      <c r="B54" s="352"/>
      <c r="C54" s="376"/>
      <c r="D54" s="389"/>
      <c r="E54" s="542"/>
      <c r="F54" s="543"/>
      <c r="G54" s="463"/>
    </row>
    <row r="55" spans="1:7" s="371" customFormat="1" ht="14.25" customHeight="1">
      <c r="A55" s="1144" t="s">
        <v>81</v>
      </c>
      <c r="B55" s="328"/>
      <c r="C55" s="375"/>
      <c r="D55" s="390" t="s">
        <v>82</v>
      </c>
      <c r="E55" s="575">
        <f>E57</f>
        <v>230000</v>
      </c>
      <c r="F55" s="575">
        <f>F57</f>
        <v>230000</v>
      </c>
      <c r="G55" s="577">
        <f>G57</f>
        <v>0</v>
      </c>
    </row>
    <row r="56" spans="1:7" s="371" customFormat="1" ht="14.25" customHeight="1">
      <c r="A56" s="317"/>
      <c r="B56" s="388"/>
      <c r="C56" s="376"/>
      <c r="D56" s="389"/>
      <c r="E56" s="542"/>
      <c r="F56" s="542"/>
      <c r="G56" s="579"/>
    </row>
    <row r="57" spans="1:7" s="371" customFormat="1" ht="14.25" customHeight="1">
      <c r="A57" s="317"/>
      <c r="B57" s="778" t="s">
        <v>478</v>
      </c>
      <c r="C57" s="375"/>
      <c r="D57" s="390" t="s">
        <v>479</v>
      </c>
      <c r="E57" s="575">
        <f>E58</f>
        <v>230000</v>
      </c>
      <c r="F57" s="575">
        <f>F58</f>
        <v>230000</v>
      </c>
      <c r="G57" s="577">
        <f>G58</f>
        <v>0</v>
      </c>
    </row>
    <row r="58" spans="1:7" s="371" customFormat="1" ht="37.5" customHeight="1" thickBot="1">
      <c r="A58" s="331"/>
      <c r="B58" s="372"/>
      <c r="C58" s="1145">
        <v>2440</v>
      </c>
      <c r="D58" s="354" t="s">
        <v>6</v>
      </c>
      <c r="E58" s="798">
        <f>F58+G58</f>
        <v>230000</v>
      </c>
      <c r="F58" s="632">
        <v>230000</v>
      </c>
      <c r="G58" s="633">
        <v>0</v>
      </c>
    </row>
    <row r="59" spans="1:7" s="371" customFormat="1" ht="14.25" customHeight="1" thickTop="1">
      <c r="A59" s="330"/>
      <c r="B59" s="352"/>
      <c r="C59" s="376"/>
      <c r="D59" s="389"/>
      <c r="E59" s="542"/>
      <c r="F59" s="543"/>
      <c r="G59" s="463"/>
    </row>
    <row r="60" spans="1:7" s="371" customFormat="1" ht="14.25" customHeight="1">
      <c r="A60" s="1144" t="s">
        <v>571</v>
      </c>
      <c r="B60" s="328"/>
      <c r="C60" s="375"/>
      <c r="D60" s="390" t="s">
        <v>441</v>
      </c>
      <c r="E60" s="575">
        <f>E62</f>
        <v>1300000</v>
      </c>
      <c r="F60" s="575">
        <f>F62</f>
        <v>0</v>
      </c>
      <c r="G60" s="577">
        <f>G62</f>
        <v>1300000</v>
      </c>
    </row>
    <row r="61" spans="1:7" s="371" customFormat="1" ht="14.25" customHeight="1">
      <c r="A61" s="317"/>
      <c r="B61" s="352"/>
      <c r="C61" s="376"/>
      <c r="D61" s="389"/>
      <c r="E61" s="542"/>
      <c r="F61" s="542"/>
      <c r="G61" s="579"/>
    </row>
    <row r="62" spans="1:7" s="371" customFormat="1" ht="14.25" customHeight="1">
      <c r="A62" s="317"/>
      <c r="B62" s="778" t="s">
        <v>246</v>
      </c>
      <c r="C62" s="375"/>
      <c r="D62" s="390" t="s">
        <v>463</v>
      </c>
      <c r="E62" s="575">
        <f>E63+E64</f>
        <v>1300000</v>
      </c>
      <c r="F62" s="575">
        <f>F63+F64</f>
        <v>0</v>
      </c>
      <c r="G62" s="577">
        <f>G63+G64</f>
        <v>1300000</v>
      </c>
    </row>
    <row r="63" spans="1:7" s="371" customFormat="1" ht="28.5" customHeight="1">
      <c r="A63" s="317"/>
      <c r="B63" s="778"/>
      <c r="C63" s="375">
        <v>6290</v>
      </c>
      <c r="D63" s="353" t="s">
        <v>135</v>
      </c>
      <c r="E63" s="620">
        <f>F63+G63</f>
        <v>50000</v>
      </c>
      <c r="F63" s="583">
        <v>0</v>
      </c>
      <c r="G63" s="464">
        <v>50000</v>
      </c>
    </row>
    <row r="64" spans="1:7" s="371" customFormat="1" ht="30" customHeight="1" thickBot="1">
      <c r="A64" s="331"/>
      <c r="B64" s="372"/>
      <c r="C64" s="1145">
        <v>6330</v>
      </c>
      <c r="D64" s="354" t="s">
        <v>31</v>
      </c>
      <c r="E64" s="798">
        <f>F64+G64</f>
        <v>1250000</v>
      </c>
      <c r="F64" s="632"/>
      <c r="G64" s="633">
        <v>1250000</v>
      </c>
    </row>
    <row r="65" spans="1:7" s="371" customFormat="1" ht="14.25" customHeight="1" hidden="1">
      <c r="A65" s="330"/>
      <c r="B65" s="352"/>
      <c r="C65" s="376"/>
      <c r="D65" s="389"/>
      <c r="E65" s="542"/>
      <c r="F65" s="543"/>
      <c r="G65" s="463"/>
    </row>
    <row r="66" spans="1:7" s="371" customFormat="1" ht="14.25" customHeight="1" hidden="1">
      <c r="A66" s="1144" t="s">
        <v>572</v>
      </c>
      <c r="B66" s="1146"/>
      <c r="C66" s="1147"/>
      <c r="D66" s="390" t="s">
        <v>442</v>
      </c>
      <c r="E66" s="575">
        <f>E68</f>
        <v>0</v>
      </c>
      <c r="F66" s="575">
        <f>F68</f>
        <v>0</v>
      </c>
      <c r="G66" s="577">
        <f>G68</f>
        <v>0</v>
      </c>
    </row>
    <row r="67" spans="1:7" s="371" customFormat="1" ht="14.25" customHeight="1" hidden="1">
      <c r="A67" s="317"/>
      <c r="B67" s="1148"/>
      <c r="C67" s="1149"/>
      <c r="D67" s="1150"/>
      <c r="E67" s="1151"/>
      <c r="F67" s="1151"/>
      <c r="G67" s="1152"/>
    </row>
    <row r="68" spans="1:7" s="371" customFormat="1" ht="14.25" customHeight="1" hidden="1">
      <c r="A68" s="317"/>
      <c r="B68" s="1144" t="s">
        <v>573</v>
      </c>
      <c r="C68" s="1147"/>
      <c r="D68" s="390" t="s">
        <v>464</v>
      </c>
      <c r="E68" s="575">
        <f>E69</f>
        <v>0</v>
      </c>
      <c r="F68" s="575">
        <f>F69</f>
        <v>0</v>
      </c>
      <c r="G68" s="577">
        <f>G69</f>
        <v>0</v>
      </c>
    </row>
    <row r="69" spans="1:7" s="371" customFormat="1" ht="29.25" customHeight="1" hidden="1">
      <c r="A69" s="331"/>
      <c r="B69" s="1153"/>
      <c r="C69" s="1145">
        <v>6298</v>
      </c>
      <c r="D69" s="354" t="s">
        <v>135</v>
      </c>
      <c r="E69" s="798">
        <f>F69+G69</f>
        <v>0</v>
      </c>
      <c r="F69" s="632">
        <v>0</v>
      </c>
      <c r="G69" s="633"/>
    </row>
    <row r="70" spans="1:7" s="371" customFormat="1" ht="27.75" customHeight="1" thickTop="1">
      <c r="A70" s="317">
        <v>700</v>
      </c>
      <c r="B70" s="328"/>
      <c r="C70" s="375"/>
      <c r="D70" s="390" t="s">
        <v>443</v>
      </c>
      <c r="E70" s="575">
        <f>SUM(E72+E75)+E82</f>
        <v>10958815</v>
      </c>
      <c r="F70" s="575">
        <f>SUM(F72+F75)+F82</f>
        <v>167000</v>
      </c>
      <c r="G70" s="577">
        <f>SUM(G72+G75)+G82</f>
        <v>10791815</v>
      </c>
    </row>
    <row r="71" spans="1:7" s="1157" customFormat="1" ht="14.25" customHeight="1">
      <c r="A71" s="1154"/>
      <c r="B71" s="1148"/>
      <c r="C71" s="1149"/>
      <c r="D71" s="1150"/>
      <c r="E71" s="1151"/>
      <c r="F71" s="1155"/>
      <c r="G71" s="1156"/>
    </row>
    <row r="72" spans="1:7" s="371" customFormat="1" ht="14.25" customHeight="1">
      <c r="A72" s="317"/>
      <c r="B72" s="352">
        <v>70001</v>
      </c>
      <c r="C72" s="375"/>
      <c r="D72" s="390" t="s">
        <v>352</v>
      </c>
      <c r="E72" s="575">
        <f>SUM(E73)</f>
        <v>1170000</v>
      </c>
      <c r="F72" s="576">
        <f>SUM(F73)</f>
        <v>0</v>
      </c>
      <c r="G72" s="577">
        <f>SUM(G73)</f>
        <v>1170000</v>
      </c>
    </row>
    <row r="73" spans="1:7" s="371" customFormat="1" ht="43.5" customHeight="1">
      <c r="A73" s="317"/>
      <c r="B73" s="329"/>
      <c r="C73" s="375">
        <v>6260</v>
      </c>
      <c r="D73" s="353" t="s">
        <v>388</v>
      </c>
      <c r="E73" s="620">
        <f>SUM(F73:G73)</f>
        <v>1170000</v>
      </c>
      <c r="F73" s="585"/>
      <c r="G73" s="463">
        <v>1170000</v>
      </c>
    </row>
    <row r="74" spans="1:7" s="371" customFormat="1" ht="12.75" customHeight="1">
      <c r="A74" s="317"/>
      <c r="B74" s="352"/>
      <c r="C74" s="376"/>
      <c r="D74" s="389"/>
      <c r="E74" s="542"/>
      <c r="F74" s="591"/>
      <c r="G74" s="592"/>
    </row>
    <row r="75" spans="1:7" s="371" customFormat="1" ht="14.25" customHeight="1">
      <c r="A75" s="317"/>
      <c r="B75" s="352">
        <v>70005</v>
      </c>
      <c r="C75" s="375"/>
      <c r="D75" s="390" t="s">
        <v>465</v>
      </c>
      <c r="E75" s="575">
        <f>SUM(E76:E81)</f>
        <v>8837600</v>
      </c>
      <c r="F75" s="576">
        <f>SUM(F76:F81)</f>
        <v>167000</v>
      </c>
      <c r="G75" s="577">
        <f>SUM(G76:G81)</f>
        <v>8670600</v>
      </c>
    </row>
    <row r="76" spans="1:7" s="1157" customFormat="1" ht="26.25" customHeight="1">
      <c r="A76" s="1154"/>
      <c r="B76" s="1148"/>
      <c r="C76" s="351" t="s">
        <v>363</v>
      </c>
      <c r="D76" s="353" t="s">
        <v>391</v>
      </c>
      <c r="E76" s="620">
        <f>SUM(F76:G76)</f>
        <v>160000</v>
      </c>
      <c r="F76" s="585">
        <v>160000</v>
      </c>
      <c r="G76" s="1158"/>
    </row>
    <row r="77" spans="1:7" s="1157" customFormat="1" ht="33" customHeight="1">
      <c r="A77" s="1154"/>
      <c r="B77" s="1148"/>
      <c r="C77" s="351" t="s">
        <v>486</v>
      </c>
      <c r="D77" s="353" t="s">
        <v>487</v>
      </c>
      <c r="E77" s="620">
        <f>SUM(F77:G77)</f>
        <v>35000</v>
      </c>
      <c r="F77" s="621"/>
      <c r="G77" s="622">
        <v>35000</v>
      </c>
    </row>
    <row r="78" spans="1:7" s="1157" customFormat="1" ht="33" customHeight="1">
      <c r="A78" s="1154"/>
      <c r="B78" s="1159"/>
      <c r="C78" s="355" t="s">
        <v>62</v>
      </c>
      <c r="D78" s="391" t="s">
        <v>63</v>
      </c>
      <c r="E78" s="620">
        <f>SUM(F78:G78)</f>
        <v>8635600</v>
      </c>
      <c r="F78" s="1160"/>
      <c r="G78" s="790">
        <f>6988000+1647600</f>
        <v>8635600</v>
      </c>
    </row>
    <row r="79" spans="1:7" s="1157" customFormat="1" ht="33" customHeight="1">
      <c r="A79" s="1154"/>
      <c r="B79" s="1159"/>
      <c r="C79" s="355" t="s">
        <v>383</v>
      </c>
      <c r="D79" s="391" t="s">
        <v>417</v>
      </c>
      <c r="E79" s="620">
        <f>F79+G79</f>
        <v>500</v>
      </c>
      <c r="F79" s="585">
        <v>500</v>
      </c>
      <c r="G79" s="636"/>
    </row>
    <row r="80" spans="1:7" s="1157" customFormat="1" ht="25.5" customHeight="1">
      <c r="A80" s="1154"/>
      <c r="B80" s="1148"/>
      <c r="C80" s="355" t="s">
        <v>364</v>
      </c>
      <c r="D80" s="391" t="s">
        <v>404</v>
      </c>
      <c r="E80" s="620">
        <f>SUM(F80:G80)</f>
        <v>500</v>
      </c>
      <c r="F80" s="621">
        <v>500</v>
      </c>
      <c r="G80" s="1161"/>
    </row>
    <row r="81" spans="1:7" s="1157" customFormat="1" ht="25.5" customHeight="1">
      <c r="A81" s="1162"/>
      <c r="B81" s="1163"/>
      <c r="C81" s="374" t="s">
        <v>365</v>
      </c>
      <c r="D81" s="391" t="s">
        <v>394</v>
      </c>
      <c r="E81" s="674">
        <f>SUM(F81:G81)</f>
        <v>6000</v>
      </c>
      <c r="F81" s="621">
        <v>6000</v>
      </c>
      <c r="G81" s="1161"/>
    </row>
    <row r="82" spans="1:7" s="371" customFormat="1" ht="23.25" customHeight="1">
      <c r="A82" s="317"/>
      <c r="B82" s="352">
        <v>70095</v>
      </c>
      <c r="C82" s="375"/>
      <c r="D82" s="390" t="s">
        <v>467</v>
      </c>
      <c r="E82" s="575">
        <f>SUM(E83)</f>
        <v>951215</v>
      </c>
      <c r="F82" s="576">
        <f>SUM(F83)</f>
        <v>0</v>
      </c>
      <c r="G82" s="577">
        <f>SUM(G83)</f>
        <v>951215</v>
      </c>
    </row>
    <row r="83" spans="1:7" s="371" customFormat="1" ht="31.5" customHeight="1">
      <c r="A83" s="321"/>
      <c r="B83" s="329"/>
      <c r="C83" s="375">
        <v>6290</v>
      </c>
      <c r="D83" s="391" t="s">
        <v>135</v>
      </c>
      <c r="E83" s="620">
        <f>SUM(F83:G83)</f>
        <v>951215</v>
      </c>
      <c r="F83" s="621"/>
      <c r="G83" s="622">
        <v>951215</v>
      </c>
    </row>
    <row r="84" spans="1:7" s="572" customFormat="1" ht="14.25" customHeight="1">
      <c r="A84" s="1164">
        <v>1</v>
      </c>
      <c r="B84" s="1165">
        <v>2</v>
      </c>
      <c r="C84" s="1166">
        <v>3</v>
      </c>
      <c r="D84" s="1165">
        <v>4</v>
      </c>
      <c r="E84" s="1167">
        <v>5</v>
      </c>
      <c r="F84" s="1165">
        <v>6</v>
      </c>
      <c r="G84" s="1168">
        <v>7</v>
      </c>
    </row>
    <row r="85" spans="1:7" s="1157" customFormat="1" ht="9.75" customHeight="1">
      <c r="A85" s="1154"/>
      <c r="B85" s="1148"/>
      <c r="C85" s="1169"/>
      <c r="D85" s="1170"/>
      <c r="E85" s="1151"/>
      <c r="F85" s="1171"/>
      <c r="G85" s="1158"/>
    </row>
    <row r="86" spans="1:7" s="371" customFormat="1" ht="14.25" customHeight="1">
      <c r="A86" s="317">
        <v>750</v>
      </c>
      <c r="B86" s="328"/>
      <c r="C86" s="375"/>
      <c r="D86" s="390" t="s">
        <v>446</v>
      </c>
      <c r="E86" s="575">
        <f>E88+E91+E96</f>
        <v>90607</v>
      </c>
      <c r="F86" s="575">
        <f>F88+F91+F96</f>
        <v>76735</v>
      </c>
      <c r="G86" s="577">
        <f>G88+G91+G96</f>
        <v>13872</v>
      </c>
    </row>
    <row r="87" spans="1:7" s="1157" customFormat="1" ht="12" customHeight="1">
      <c r="A87" s="1154"/>
      <c r="B87" s="1148"/>
      <c r="C87" s="1149"/>
      <c r="D87" s="1150"/>
      <c r="E87" s="1151"/>
      <c r="F87" s="1171"/>
      <c r="G87" s="1158"/>
    </row>
    <row r="88" spans="1:7" s="371" customFormat="1" ht="14.25" customHeight="1">
      <c r="A88" s="317"/>
      <c r="B88" s="352">
        <v>75011</v>
      </c>
      <c r="C88" s="375"/>
      <c r="D88" s="390" t="s">
        <v>113</v>
      </c>
      <c r="E88" s="575">
        <f>SUM(E89:E89)</f>
        <v>1200</v>
      </c>
      <c r="F88" s="576">
        <f>SUM(F89:F89)</f>
        <v>1200</v>
      </c>
      <c r="G88" s="577">
        <f>SUM(G89:G89)</f>
        <v>0</v>
      </c>
    </row>
    <row r="89" spans="1:7" s="1157" customFormat="1" ht="30" customHeight="1">
      <c r="A89" s="1154"/>
      <c r="B89" s="1163"/>
      <c r="C89" s="374" t="s">
        <v>488</v>
      </c>
      <c r="D89" s="391" t="s">
        <v>490</v>
      </c>
      <c r="E89" s="620">
        <f>SUM(F89:G89)</f>
        <v>1200</v>
      </c>
      <c r="F89" s="621">
        <v>1200</v>
      </c>
      <c r="G89" s="1161"/>
    </row>
    <row r="90" spans="1:7" s="1157" customFormat="1" ht="12.75">
      <c r="A90" s="1154"/>
      <c r="B90" s="1148"/>
      <c r="C90" s="1172"/>
      <c r="D90" s="1170"/>
      <c r="E90" s="1151"/>
      <c r="F90" s="1171"/>
      <c r="G90" s="1158"/>
    </row>
    <row r="91" spans="1:8" s="371" customFormat="1" ht="12.75">
      <c r="A91" s="317"/>
      <c r="B91" s="352">
        <v>75023</v>
      </c>
      <c r="C91" s="356"/>
      <c r="D91" s="353" t="s">
        <v>345</v>
      </c>
      <c r="E91" s="575">
        <f>SUM(E92:E94)</f>
        <v>25249</v>
      </c>
      <c r="F91" s="575">
        <f>SUM(F92:F94)</f>
        <v>11377</v>
      </c>
      <c r="G91" s="577">
        <f>SUM(G92:G94)</f>
        <v>13872</v>
      </c>
      <c r="H91" s="779"/>
    </row>
    <row r="92" spans="1:7" s="371" customFormat="1" ht="25.5" customHeight="1">
      <c r="A92" s="317"/>
      <c r="B92" s="352"/>
      <c r="C92" s="378" t="s">
        <v>365</v>
      </c>
      <c r="D92" s="353" t="s">
        <v>394</v>
      </c>
      <c r="E92" s="620">
        <f>SUM(F92:G92)</f>
        <v>3548</v>
      </c>
      <c r="F92" s="621">
        <v>3548</v>
      </c>
      <c r="G92" s="622"/>
    </row>
    <row r="93" spans="1:8" s="371" customFormat="1" ht="38.25">
      <c r="A93" s="317"/>
      <c r="B93" s="352"/>
      <c r="C93" s="378" t="s">
        <v>439</v>
      </c>
      <c r="D93" s="391" t="s">
        <v>344</v>
      </c>
      <c r="E93" s="620">
        <f>F93+G93</f>
        <v>7829</v>
      </c>
      <c r="F93" s="621">
        <v>7829</v>
      </c>
      <c r="G93" s="622"/>
      <c r="H93" s="779"/>
    </row>
    <row r="94" spans="1:7" s="1157" customFormat="1" ht="34.5" customHeight="1">
      <c r="A94" s="1154"/>
      <c r="B94" s="1163"/>
      <c r="C94" s="375">
        <v>6298</v>
      </c>
      <c r="D94" s="353" t="s">
        <v>135</v>
      </c>
      <c r="E94" s="620">
        <f>SUM(F94:G94)</f>
        <v>13872</v>
      </c>
      <c r="F94" s="1171"/>
      <c r="G94" s="463">
        <v>13872</v>
      </c>
    </row>
    <row r="95" spans="1:7" s="1157" customFormat="1" ht="14.25" customHeight="1">
      <c r="A95" s="1154"/>
      <c r="B95" s="1173"/>
      <c r="C95" s="1174"/>
      <c r="D95" s="1175"/>
      <c r="E95" s="1176"/>
      <c r="F95" s="1155"/>
      <c r="G95" s="1156"/>
    </row>
    <row r="96" spans="1:7" s="1157" customFormat="1" ht="14.25" customHeight="1">
      <c r="A96" s="1154"/>
      <c r="B96" s="352">
        <v>75095</v>
      </c>
      <c r="C96" s="375"/>
      <c r="D96" s="390" t="s">
        <v>467</v>
      </c>
      <c r="E96" s="575">
        <f>SUM(E97:E97)</f>
        <v>64158</v>
      </c>
      <c r="F96" s="575">
        <f>SUM(F97:F97)</f>
        <v>64158</v>
      </c>
      <c r="G96" s="577">
        <f>SUM(G97:G97)</f>
        <v>0</v>
      </c>
    </row>
    <row r="97" spans="1:7" s="1157" customFormat="1" ht="42" customHeight="1" thickBot="1">
      <c r="A97" s="1177"/>
      <c r="B97" s="372"/>
      <c r="C97" s="655">
        <v>2708</v>
      </c>
      <c r="D97" s="354" t="s">
        <v>344</v>
      </c>
      <c r="E97" s="627">
        <f>SUM(F97:G97)</f>
        <v>64158</v>
      </c>
      <c r="F97" s="1178">
        <v>64158</v>
      </c>
      <c r="G97" s="1179"/>
    </row>
    <row r="98" spans="1:7" s="1187" customFormat="1" ht="8.25" customHeight="1" thickTop="1">
      <c r="A98" s="1180"/>
      <c r="B98" s="1181"/>
      <c r="C98" s="1182"/>
      <c r="D98" s="1183"/>
      <c r="E98" s="1184"/>
      <c r="F98" s="1185"/>
      <c r="G98" s="1186"/>
    </row>
    <row r="99" spans="1:7" s="562" customFormat="1" ht="18" customHeight="1">
      <c r="A99" s="343">
        <v>754</v>
      </c>
      <c r="B99" s="782"/>
      <c r="C99" s="783"/>
      <c r="D99" s="784" t="s">
        <v>574</v>
      </c>
      <c r="E99" s="674">
        <f>SUM(E101+E104)</f>
        <v>35000</v>
      </c>
      <c r="F99" s="785">
        <f>SUM(F101+F104)</f>
        <v>35000</v>
      </c>
      <c r="G99" s="786">
        <f>SUM(G101+G104)</f>
        <v>0</v>
      </c>
    </row>
    <row r="100" spans="1:7" s="1187" customFormat="1" ht="14.25" customHeight="1" hidden="1">
      <c r="A100" s="1180"/>
      <c r="B100" s="1181"/>
      <c r="C100" s="1182"/>
      <c r="D100" s="1183"/>
      <c r="E100" s="1188"/>
      <c r="F100" s="1189"/>
      <c r="G100" s="1190"/>
    </row>
    <row r="101" spans="1:7" s="1187" customFormat="1" ht="14.25" customHeight="1" hidden="1">
      <c r="A101" s="1180"/>
      <c r="B101" s="733">
        <v>75412</v>
      </c>
      <c r="C101" s="783"/>
      <c r="D101" s="784" t="s">
        <v>483</v>
      </c>
      <c r="E101" s="674">
        <f>SUM(E102)</f>
        <v>0</v>
      </c>
      <c r="F101" s="785">
        <f>SUM(F102)</f>
        <v>0</v>
      </c>
      <c r="G101" s="786">
        <f>SUM(G102)</f>
        <v>0</v>
      </c>
    </row>
    <row r="102" spans="1:7" s="1187" customFormat="1" ht="25.5" customHeight="1" hidden="1">
      <c r="A102" s="1180"/>
      <c r="B102" s="1191"/>
      <c r="C102" s="783">
        <v>6290</v>
      </c>
      <c r="D102" s="788" t="s">
        <v>135</v>
      </c>
      <c r="E102" s="674">
        <f>SUM(F102:G102)</f>
        <v>0</v>
      </c>
      <c r="F102" s="789"/>
      <c r="G102" s="790"/>
    </row>
    <row r="103" spans="1:7" s="1187" customFormat="1" ht="14.25" customHeight="1">
      <c r="A103" s="1180"/>
      <c r="B103" s="1181"/>
      <c r="C103" s="1182"/>
      <c r="D103" s="1183"/>
      <c r="E103" s="1188"/>
      <c r="F103" s="1189"/>
      <c r="G103" s="1190"/>
    </row>
    <row r="104" spans="1:7" s="562" customFormat="1" ht="14.25" customHeight="1">
      <c r="A104" s="343"/>
      <c r="B104" s="733">
        <v>75416</v>
      </c>
      <c r="C104" s="783"/>
      <c r="D104" s="784" t="s">
        <v>470</v>
      </c>
      <c r="E104" s="674">
        <f>SUM(E105)</f>
        <v>35000</v>
      </c>
      <c r="F104" s="785">
        <f>SUM(F105)</f>
        <v>35000</v>
      </c>
      <c r="G104" s="786">
        <f>SUM(G105)</f>
        <v>0</v>
      </c>
    </row>
    <row r="105" spans="1:7" s="562" customFormat="1" ht="25.5" customHeight="1" thickBot="1">
      <c r="A105" s="791"/>
      <c r="B105" s="792"/>
      <c r="C105" s="793" t="s">
        <v>368</v>
      </c>
      <c r="D105" s="794" t="s">
        <v>136</v>
      </c>
      <c r="E105" s="623">
        <f>SUM(F105:G105)</f>
        <v>35000</v>
      </c>
      <c r="F105" s="795">
        <v>35000</v>
      </c>
      <c r="G105" s="796"/>
    </row>
    <row r="106" spans="1:7" s="1187" customFormat="1" ht="3.75" customHeight="1" thickTop="1">
      <c r="A106" s="1180"/>
      <c r="B106" s="1181"/>
      <c r="C106" s="1182"/>
      <c r="D106" s="1183"/>
      <c r="E106" s="1188"/>
      <c r="F106" s="1185"/>
      <c r="G106" s="1186"/>
    </row>
    <row r="107" spans="1:7" s="371" customFormat="1" ht="14.25" customHeight="1">
      <c r="A107" s="317">
        <v>756</v>
      </c>
      <c r="B107" s="327"/>
      <c r="C107" s="376"/>
      <c r="D107" s="389" t="s">
        <v>27</v>
      </c>
      <c r="E107" s="542"/>
      <c r="F107" s="585"/>
      <c r="G107" s="463"/>
    </row>
    <row r="108" spans="1:7" s="371" customFormat="1" ht="14.25" customHeight="1">
      <c r="A108" s="317"/>
      <c r="B108" s="327"/>
      <c r="C108" s="376"/>
      <c r="D108" s="389" t="s">
        <v>28</v>
      </c>
      <c r="E108" s="542"/>
      <c r="F108" s="585"/>
      <c r="G108" s="463"/>
    </row>
    <row r="109" spans="1:7" s="371" customFormat="1" ht="14.25" customHeight="1">
      <c r="A109" s="317"/>
      <c r="B109" s="328"/>
      <c r="C109" s="375"/>
      <c r="D109" s="390" t="s">
        <v>300</v>
      </c>
      <c r="E109" s="575">
        <f>SUM(F109:G109)</f>
        <v>66595793</v>
      </c>
      <c r="F109" s="575">
        <f>F111+F115+F127+F140+F147</f>
        <v>66595793</v>
      </c>
      <c r="G109" s="577">
        <f>G111+G115+G127+G140+G147</f>
        <v>0</v>
      </c>
    </row>
    <row r="110" spans="1:7" s="1157" customFormat="1" ht="7.5" customHeight="1">
      <c r="A110" s="1154"/>
      <c r="B110" s="1148"/>
      <c r="C110" s="1149"/>
      <c r="D110" s="1150"/>
      <c r="E110" s="1151"/>
      <c r="F110" s="1192"/>
      <c r="G110" s="1152"/>
    </row>
    <row r="111" spans="1:7" s="371" customFormat="1" ht="14.25" customHeight="1">
      <c r="A111" s="317"/>
      <c r="B111" s="352">
        <v>75601</v>
      </c>
      <c r="C111" s="375"/>
      <c r="D111" s="390" t="s">
        <v>308</v>
      </c>
      <c r="E111" s="575">
        <f>SUM(E112)</f>
        <v>120000</v>
      </c>
      <c r="F111" s="576">
        <f>SUM(F112)</f>
        <v>120000</v>
      </c>
      <c r="G111" s="577">
        <f>SUM(G112)</f>
        <v>0</v>
      </c>
    </row>
    <row r="112" spans="1:14" s="371" customFormat="1" ht="27.75" customHeight="1">
      <c r="A112" s="320"/>
      <c r="B112" s="329"/>
      <c r="C112" s="384" t="s">
        <v>373</v>
      </c>
      <c r="D112" s="353" t="s">
        <v>411</v>
      </c>
      <c r="E112" s="575">
        <f>SUM(F112:G112)</f>
        <v>120000</v>
      </c>
      <c r="F112" s="583">
        <v>120000</v>
      </c>
      <c r="G112" s="464"/>
      <c r="H112" s="370"/>
      <c r="I112" s="369"/>
      <c r="J112" s="369"/>
      <c r="K112" s="370"/>
      <c r="L112" s="370"/>
      <c r="M112" s="370"/>
      <c r="N112" s="370"/>
    </row>
    <row r="113" spans="1:14" s="371" customFormat="1" ht="14.25" customHeight="1">
      <c r="A113" s="317"/>
      <c r="B113" s="352">
        <v>75615</v>
      </c>
      <c r="C113" s="383"/>
      <c r="D113" s="389" t="s">
        <v>339</v>
      </c>
      <c r="E113" s="542"/>
      <c r="F113" s="585"/>
      <c r="G113" s="463"/>
      <c r="H113" s="385"/>
      <c r="I113" s="369"/>
      <c r="J113" s="387"/>
      <c r="K113" s="370"/>
      <c r="L113" s="370"/>
      <c r="M113" s="370"/>
      <c r="N113" s="370"/>
    </row>
    <row r="114" spans="1:14" s="371" customFormat="1" ht="14.25" customHeight="1">
      <c r="A114" s="317"/>
      <c r="B114" s="352"/>
      <c r="C114" s="383"/>
      <c r="D114" s="389" t="s">
        <v>340</v>
      </c>
      <c r="E114" s="542"/>
      <c r="F114" s="585"/>
      <c r="G114" s="463"/>
      <c r="H114" s="385"/>
      <c r="I114" s="369"/>
      <c r="J114" s="387"/>
      <c r="K114" s="370"/>
      <c r="L114" s="370"/>
      <c r="M114" s="370"/>
      <c r="N114" s="370"/>
    </row>
    <row r="115" spans="1:14" s="371" customFormat="1" ht="14.25" customHeight="1">
      <c r="A115" s="317"/>
      <c r="B115" s="352"/>
      <c r="C115" s="384"/>
      <c r="D115" s="390" t="s">
        <v>179</v>
      </c>
      <c r="E115" s="575">
        <f>E116+E117+E118+E119+E120+E121+E122+E123</f>
        <v>36735738</v>
      </c>
      <c r="F115" s="575">
        <f>F116+F117+F118+F119+F120+F121+F122+F123</f>
        <v>36735738</v>
      </c>
      <c r="G115" s="577">
        <f>G116+G117+G118+G119+G120+G121+G122+G123</f>
        <v>0</v>
      </c>
      <c r="H115" s="385"/>
      <c r="I115" s="369"/>
      <c r="J115" s="387"/>
      <c r="K115" s="370"/>
      <c r="L115" s="370"/>
      <c r="M115" s="370"/>
      <c r="N115" s="370"/>
    </row>
    <row r="116" spans="1:14" s="371" customFormat="1" ht="25.5" customHeight="1">
      <c r="A116" s="317"/>
      <c r="B116" s="352"/>
      <c r="C116" s="386" t="s">
        <v>369</v>
      </c>
      <c r="D116" s="391" t="s">
        <v>407</v>
      </c>
      <c r="E116" s="628">
        <f>SUM(F116:G116)</f>
        <v>36077000</v>
      </c>
      <c r="F116" s="585">
        <v>36077000</v>
      </c>
      <c r="G116" s="463"/>
      <c r="H116" s="385"/>
      <c r="I116" s="369"/>
      <c r="J116" s="387"/>
      <c r="K116" s="370"/>
      <c r="L116" s="370"/>
      <c r="M116" s="370"/>
      <c r="N116" s="370"/>
    </row>
    <row r="117" spans="1:14" s="1157" customFormat="1" ht="25.5" customHeight="1">
      <c r="A117" s="1154"/>
      <c r="B117" s="1148"/>
      <c r="C117" s="384" t="s">
        <v>370</v>
      </c>
      <c r="D117" s="353" t="s">
        <v>408</v>
      </c>
      <c r="E117" s="628">
        <f>F117+G117</f>
        <v>32200</v>
      </c>
      <c r="F117" s="621">
        <v>32200</v>
      </c>
      <c r="G117" s="1161"/>
      <c r="H117" s="1193"/>
      <c r="I117" s="1143"/>
      <c r="J117" s="1194"/>
      <c r="K117" s="1195"/>
      <c r="L117" s="1195"/>
      <c r="M117" s="1195"/>
      <c r="N117" s="1195"/>
    </row>
    <row r="118" spans="1:14" s="371" customFormat="1" ht="25.5" customHeight="1">
      <c r="A118" s="317"/>
      <c r="B118" s="352"/>
      <c r="C118" s="386" t="s">
        <v>371</v>
      </c>
      <c r="D118" s="391" t="s">
        <v>409</v>
      </c>
      <c r="E118" s="628">
        <f aca="true" t="shared" si="0" ref="E118:E123">F118+G118</f>
        <v>178500</v>
      </c>
      <c r="F118" s="585">
        <v>178500</v>
      </c>
      <c r="G118" s="463"/>
      <c r="H118" s="385"/>
      <c r="I118" s="369"/>
      <c r="J118" s="387"/>
      <c r="K118" s="370"/>
      <c r="L118" s="370"/>
      <c r="M118" s="370"/>
      <c r="N118" s="370"/>
    </row>
    <row r="119" spans="1:14" s="1157" customFormat="1" ht="25.5" customHeight="1">
      <c r="A119" s="1154"/>
      <c r="B119" s="1148"/>
      <c r="C119" s="386" t="s">
        <v>372</v>
      </c>
      <c r="D119" s="391" t="s">
        <v>410</v>
      </c>
      <c r="E119" s="628">
        <f t="shared" si="0"/>
        <v>180000</v>
      </c>
      <c r="F119" s="621">
        <v>180000</v>
      </c>
      <c r="G119" s="1161"/>
      <c r="H119" s="1193"/>
      <c r="I119" s="1143"/>
      <c r="J119" s="1194"/>
      <c r="K119" s="1195"/>
      <c r="L119" s="1195"/>
      <c r="M119" s="1195"/>
      <c r="N119" s="1195"/>
    </row>
    <row r="120" spans="1:14" s="371" customFormat="1" ht="25.5" customHeight="1">
      <c r="A120" s="317"/>
      <c r="B120" s="352"/>
      <c r="C120" s="386" t="s">
        <v>381</v>
      </c>
      <c r="D120" s="391" t="s">
        <v>416</v>
      </c>
      <c r="E120" s="628">
        <f t="shared" si="0"/>
        <v>14600</v>
      </c>
      <c r="F120" s="585">
        <v>14600</v>
      </c>
      <c r="G120" s="463"/>
      <c r="H120" s="385"/>
      <c r="I120" s="369"/>
      <c r="J120" s="387"/>
      <c r="K120" s="370"/>
      <c r="L120" s="370"/>
      <c r="M120" s="370"/>
      <c r="N120" s="370"/>
    </row>
    <row r="121" spans="1:14" s="1157" customFormat="1" ht="25.5" customHeight="1">
      <c r="A121" s="1154"/>
      <c r="B121" s="1148"/>
      <c r="C121" s="386" t="s">
        <v>367</v>
      </c>
      <c r="D121" s="391" t="s">
        <v>396</v>
      </c>
      <c r="E121" s="628">
        <f t="shared" si="0"/>
        <v>1300</v>
      </c>
      <c r="F121" s="621">
        <v>1300</v>
      </c>
      <c r="G121" s="1161"/>
      <c r="H121" s="1193"/>
      <c r="I121" s="1143"/>
      <c r="J121" s="1195"/>
      <c r="K121" s="1195"/>
      <c r="L121" s="1195"/>
      <c r="M121" s="1195"/>
      <c r="N121" s="1195"/>
    </row>
    <row r="122" spans="1:14" s="371" customFormat="1" ht="25.5" customHeight="1">
      <c r="A122" s="317"/>
      <c r="B122" s="352"/>
      <c r="C122" s="386" t="s">
        <v>383</v>
      </c>
      <c r="D122" s="391" t="s">
        <v>417</v>
      </c>
      <c r="E122" s="628">
        <f t="shared" si="0"/>
        <v>251000</v>
      </c>
      <c r="F122" s="621">
        <v>251000</v>
      </c>
      <c r="G122" s="622"/>
      <c r="H122" s="385"/>
      <c r="I122" s="369"/>
      <c r="J122" s="387"/>
      <c r="K122" s="370"/>
      <c r="L122" s="370"/>
      <c r="M122" s="370"/>
      <c r="N122" s="370"/>
    </row>
    <row r="123" spans="1:14" s="1157" customFormat="1" ht="25.5" customHeight="1">
      <c r="A123" s="1196"/>
      <c r="B123" s="1163"/>
      <c r="C123" s="384" t="s">
        <v>318</v>
      </c>
      <c r="D123" s="353" t="s">
        <v>423</v>
      </c>
      <c r="E123" s="628">
        <f t="shared" si="0"/>
        <v>1138</v>
      </c>
      <c r="F123" s="583">
        <v>1138</v>
      </c>
      <c r="G123" s="1197"/>
      <c r="H123" s="1193"/>
      <c r="I123" s="1143"/>
      <c r="J123" s="1194"/>
      <c r="K123" s="1195"/>
      <c r="L123" s="1195"/>
      <c r="M123" s="1195"/>
      <c r="N123" s="1195"/>
    </row>
    <row r="124" spans="1:7" s="572" customFormat="1" ht="14.25" customHeight="1">
      <c r="A124" s="1164">
        <v>1</v>
      </c>
      <c r="B124" s="1165">
        <v>2</v>
      </c>
      <c r="C124" s="1166">
        <v>3</v>
      </c>
      <c r="D124" s="1165">
        <v>4</v>
      </c>
      <c r="E124" s="1198">
        <v>5</v>
      </c>
      <c r="F124" s="1165">
        <v>6</v>
      </c>
      <c r="G124" s="1199">
        <v>7</v>
      </c>
    </row>
    <row r="125" spans="1:14" s="371" customFormat="1" ht="14.25" customHeight="1">
      <c r="A125" s="317"/>
      <c r="B125" s="352">
        <v>75616</v>
      </c>
      <c r="C125" s="383"/>
      <c r="D125" s="389" t="s">
        <v>9</v>
      </c>
      <c r="E125" s="542"/>
      <c r="F125" s="585"/>
      <c r="G125" s="463"/>
      <c r="H125" s="385"/>
      <c r="I125" s="369"/>
      <c r="J125" s="387"/>
      <c r="K125" s="370"/>
      <c r="L125" s="370"/>
      <c r="M125" s="370"/>
      <c r="N125" s="370"/>
    </row>
    <row r="126" spans="1:14" s="371" customFormat="1" ht="14.25" customHeight="1">
      <c r="A126" s="317"/>
      <c r="B126" s="352"/>
      <c r="C126" s="383"/>
      <c r="D126" s="389" t="s">
        <v>346</v>
      </c>
      <c r="E126" s="542"/>
      <c r="F126" s="585"/>
      <c r="G126" s="463"/>
      <c r="H126" s="385"/>
      <c r="I126" s="369"/>
      <c r="J126" s="387"/>
      <c r="K126" s="370"/>
      <c r="L126" s="370"/>
      <c r="M126" s="370"/>
      <c r="N126" s="370"/>
    </row>
    <row r="127" spans="1:14" s="371" customFormat="1" ht="12.75">
      <c r="A127" s="317"/>
      <c r="B127" s="352"/>
      <c r="C127" s="384"/>
      <c r="D127" s="390" t="s">
        <v>347</v>
      </c>
      <c r="E127" s="575">
        <f>SUM(E128:E138)</f>
        <v>4612750</v>
      </c>
      <c r="F127" s="575">
        <f>SUM(F128:F138)</f>
        <v>4612750</v>
      </c>
      <c r="G127" s="577">
        <f>SUM(G128:G138)</f>
        <v>0</v>
      </c>
      <c r="H127" s="385"/>
      <c r="I127" s="369"/>
      <c r="J127" s="387"/>
      <c r="K127" s="370"/>
      <c r="L127" s="370"/>
      <c r="M127" s="370"/>
      <c r="N127" s="370"/>
    </row>
    <row r="128" spans="1:14" s="371" customFormat="1" ht="25.5" customHeight="1">
      <c r="A128" s="317"/>
      <c r="B128" s="352"/>
      <c r="C128" s="386" t="s">
        <v>369</v>
      </c>
      <c r="D128" s="391" t="s">
        <v>407</v>
      </c>
      <c r="E128" s="628">
        <f aca="true" t="shared" si="1" ref="E128:E138">SUM(F128:G128)</f>
        <v>2923000</v>
      </c>
      <c r="F128" s="585">
        <v>2923000</v>
      </c>
      <c r="G128" s="463"/>
      <c r="H128" s="385"/>
      <c r="I128" s="369"/>
      <c r="J128" s="387"/>
      <c r="K128" s="370"/>
      <c r="L128" s="370"/>
      <c r="M128" s="370"/>
      <c r="N128" s="370"/>
    </row>
    <row r="129" spans="1:14" s="371" customFormat="1" ht="25.5" customHeight="1">
      <c r="A129" s="317"/>
      <c r="B129" s="352"/>
      <c r="C129" s="386" t="s">
        <v>370</v>
      </c>
      <c r="D129" s="391" t="s">
        <v>408</v>
      </c>
      <c r="E129" s="628">
        <f t="shared" si="1"/>
        <v>136000</v>
      </c>
      <c r="F129" s="621">
        <v>136000</v>
      </c>
      <c r="G129" s="622"/>
      <c r="H129" s="385"/>
      <c r="I129" s="369"/>
      <c r="J129" s="387"/>
      <c r="K129" s="370"/>
      <c r="L129" s="370"/>
      <c r="M129" s="370"/>
      <c r="N129" s="370"/>
    </row>
    <row r="130" spans="1:14" s="371" customFormat="1" ht="25.5" customHeight="1">
      <c r="A130" s="317"/>
      <c r="B130" s="352"/>
      <c r="C130" s="384" t="s">
        <v>371</v>
      </c>
      <c r="D130" s="353" t="s">
        <v>409</v>
      </c>
      <c r="E130" s="575">
        <f t="shared" si="1"/>
        <v>750</v>
      </c>
      <c r="F130" s="585">
        <v>750</v>
      </c>
      <c r="G130" s="463"/>
      <c r="H130" s="370"/>
      <c r="I130" s="370"/>
      <c r="J130" s="370"/>
      <c r="K130" s="370"/>
      <c r="L130" s="370"/>
      <c r="M130" s="370"/>
      <c r="N130" s="370"/>
    </row>
    <row r="131" spans="1:14" s="371" customFormat="1" ht="25.5" customHeight="1">
      <c r="A131" s="317"/>
      <c r="B131" s="352"/>
      <c r="C131" s="386" t="s">
        <v>372</v>
      </c>
      <c r="D131" s="391" t="s">
        <v>410</v>
      </c>
      <c r="E131" s="628">
        <f t="shared" si="1"/>
        <v>160000</v>
      </c>
      <c r="F131" s="621">
        <v>160000</v>
      </c>
      <c r="G131" s="622"/>
      <c r="H131" s="370"/>
      <c r="I131" s="370"/>
      <c r="J131" s="370"/>
      <c r="K131" s="370"/>
      <c r="L131" s="370"/>
      <c r="M131" s="370"/>
      <c r="N131" s="370"/>
    </row>
    <row r="132" spans="1:14" s="371" customFormat="1" ht="25.5" customHeight="1">
      <c r="A132" s="317"/>
      <c r="B132" s="352"/>
      <c r="C132" s="386" t="s">
        <v>374</v>
      </c>
      <c r="D132" s="473" t="s">
        <v>412</v>
      </c>
      <c r="E132" s="628">
        <f t="shared" si="1"/>
        <v>100000</v>
      </c>
      <c r="F132" s="585">
        <v>100000</v>
      </c>
      <c r="G132" s="463"/>
      <c r="H132" s="370"/>
      <c r="I132" s="370"/>
      <c r="J132" s="370"/>
      <c r="K132" s="370"/>
      <c r="L132" s="370"/>
      <c r="M132" s="370"/>
      <c r="N132" s="370"/>
    </row>
    <row r="133" spans="1:14" s="371" customFormat="1" ht="25.5" customHeight="1">
      <c r="A133" s="317"/>
      <c r="B133" s="352"/>
      <c r="C133" s="386" t="s">
        <v>64</v>
      </c>
      <c r="D133" s="391" t="s">
        <v>65</v>
      </c>
      <c r="E133" s="628">
        <f t="shared" si="1"/>
        <v>58000</v>
      </c>
      <c r="F133" s="621">
        <v>58000</v>
      </c>
      <c r="G133" s="622"/>
      <c r="H133" s="385"/>
      <c r="I133" s="369"/>
      <c r="J133" s="387"/>
      <c r="K133" s="370"/>
      <c r="L133" s="370"/>
      <c r="M133" s="370"/>
      <c r="N133" s="370"/>
    </row>
    <row r="134" spans="1:14" s="371" customFormat="1" ht="25.5" customHeight="1">
      <c r="A134" s="317"/>
      <c r="B134" s="352"/>
      <c r="C134" s="386" t="s">
        <v>378</v>
      </c>
      <c r="D134" s="473" t="s">
        <v>414</v>
      </c>
      <c r="E134" s="628">
        <f t="shared" si="1"/>
        <v>141000</v>
      </c>
      <c r="F134" s="585">
        <v>141000</v>
      </c>
      <c r="G134" s="463"/>
      <c r="H134" s="370"/>
      <c r="I134" s="370"/>
      <c r="J134" s="370"/>
      <c r="K134" s="370"/>
      <c r="L134" s="370"/>
      <c r="M134" s="370"/>
      <c r="N134" s="370"/>
    </row>
    <row r="135" spans="1:14" s="371" customFormat="1" ht="25.5" customHeight="1">
      <c r="A135" s="317"/>
      <c r="B135" s="352"/>
      <c r="C135" s="386" t="s">
        <v>381</v>
      </c>
      <c r="D135" s="391" t="s">
        <v>416</v>
      </c>
      <c r="E135" s="628">
        <f t="shared" si="1"/>
        <v>1035000</v>
      </c>
      <c r="F135" s="621">
        <v>1035000</v>
      </c>
      <c r="G135" s="622"/>
      <c r="H135" s="370"/>
      <c r="I135" s="370"/>
      <c r="J135" s="370"/>
      <c r="K135" s="370"/>
      <c r="L135" s="370"/>
      <c r="M135" s="370"/>
      <c r="N135" s="370"/>
    </row>
    <row r="136" spans="1:14" s="371" customFormat="1" ht="25.5" customHeight="1">
      <c r="A136" s="317"/>
      <c r="B136" s="352"/>
      <c r="C136" s="386" t="s">
        <v>382</v>
      </c>
      <c r="D136" s="391" t="s">
        <v>29</v>
      </c>
      <c r="E136" s="628">
        <f t="shared" si="1"/>
        <v>1000</v>
      </c>
      <c r="F136" s="585">
        <v>1000</v>
      </c>
      <c r="G136" s="463"/>
      <c r="H136" s="370"/>
      <c r="I136" s="370"/>
      <c r="J136" s="370"/>
      <c r="K136" s="370"/>
      <c r="L136" s="370"/>
      <c r="M136" s="370"/>
      <c r="N136" s="370"/>
    </row>
    <row r="137" spans="1:14" s="371" customFormat="1" ht="25.5" customHeight="1">
      <c r="A137" s="317"/>
      <c r="B137" s="352"/>
      <c r="C137" s="386" t="s">
        <v>367</v>
      </c>
      <c r="D137" s="391" t="s">
        <v>396</v>
      </c>
      <c r="E137" s="628">
        <f t="shared" si="1"/>
        <v>15500</v>
      </c>
      <c r="F137" s="621">
        <v>15500</v>
      </c>
      <c r="G137" s="622"/>
      <c r="H137" s="370"/>
      <c r="I137" s="370"/>
      <c r="J137" s="370"/>
      <c r="K137" s="370"/>
      <c r="L137" s="370"/>
      <c r="M137" s="370"/>
      <c r="N137" s="370"/>
    </row>
    <row r="138" spans="1:14" s="371" customFormat="1" ht="25.5" customHeight="1">
      <c r="A138" s="317"/>
      <c r="B138" s="329"/>
      <c r="C138" s="386" t="s">
        <v>383</v>
      </c>
      <c r="D138" s="391" t="s">
        <v>417</v>
      </c>
      <c r="E138" s="628">
        <f t="shared" si="1"/>
        <v>42500</v>
      </c>
      <c r="F138" s="621">
        <v>42500</v>
      </c>
      <c r="G138" s="622"/>
      <c r="H138" s="370"/>
      <c r="I138" s="370"/>
      <c r="J138" s="370"/>
      <c r="K138" s="370"/>
      <c r="L138" s="370"/>
      <c r="M138" s="370"/>
      <c r="N138" s="370"/>
    </row>
    <row r="139" spans="1:14" s="371" customFormat="1" ht="14.25" customHeight="1">
      <c r="A139" s="317"/>
      <c r="B139" s="352">
        <v>75618</v>
      </c>
      <c r="C139" s="383"/>
      <c r="D139" s="389" t="s">
        <v>471</v>
      </c>
      <c r="E139" s="542"/>
      <c r="F139" s="585"/>
      <c r="G139" s="463"/>
      <c r="H139" s="370"/>
      <c r="I139" s="370"/>
      <c r="J139" s="370"/>
      <c r="K139" s="370"/>
      <c r="L139" s="370"/>
      <c r="M139" s="370"/>
      <c r="N139" s="370"/>
    </row>
    <row r="140" spans="1:14" s="371" customFormat="1" ht="14.25" customHeight="1">
      <c r="A140" s="317"/>
      <c r="B140" s="352"/>
      <c r="C140" s="384"/>
      <c r="D140" s="390" t="s">
        <v>169</v>
      </c>
      <c r="E140" s="575">
        <f>SUM(E141:E145)</f>
        <v>1121769</v>
      </c>
      <c r="F140" s="576">
        <f>SUM(F141:F145)</f>
        <v>1121769</v>
      </c>
      <c r="G140" s="577">
        <f>SUM(G141:G145)</f>
        <v>0</v>
      </c>
      <c r="H140" s="370"/>
      <c r="I140" s="370"/>
      <c r="J140" s="370"/>
      <c r="K140" s="370"/>
      <c r="L140" s="370"/>
      <c r="M140" s="370"/>
      <c r="N140" s="370"/>
    </row>
    <row r="141" spans="1:14" s="1157" customFormat="1" ht="25.5" customHeight="1">
      <c r="A141" s="1154"/>
      <c r="B141" s="1148"/>
      <c r="C141" s="386" t="s">
        <v>377</v>
      </c>
      <c r="D141" s="473" t="s">
        <v>413</v>
      </c>
      <c r="E141" s="628">
        <f>SUM(F141:G141)</f>
        <v>360000</v>
      </c>
      <c r="F141" s="621">
        <v>360000</v>
      </c>
      <c r="G141" s="1161"/>
      <c r="H141" s="1195"/>
      <c r="I141" s="1195"/>
      <c r="J141" s="1195"/>
      <c r="K141" s="1195"/>
      <c r="L141" s="1195"/>
      <c r="M141" s="1195"/>
      <c r="N141" s="1195"/>
    </row>
    <row r="142" spans="1:14" s="1157" customFormat="1" ht="25.5" customHeight="1">
      <c r="A142" s="1154"/>
      <c r="B142" s="1148"/>
      <c r="C142" s="386" t="s">
        <v>317</v>
      </c>
      <c r="D142" s="473" t="s">
        <v>137</v>
      </c>
      <c r="E142" s="628">
        <f>SUM(F142:G142)</f>
        <v>4500</v>
      </c>
      <c r="F142" s="585">
        <v>4500</v>
      </c>
      <c r="G142" s="1158"/>
      <c r="H142" s="1195"/>
      <c r="I142" s="1195"/>
      <c r="J142" s="1195"/>
      <c r="K142" s="1195"/>
      <c r="L142" s="1195"/>
      <c r="M142" s="1195"/>
      <c r="N142" s="1195"/>
    </row>
    <row r="143" spans="1:14" s="1157" customFormat="1" ht="25.5" customHeight="1">
      <c r="A143" s="1154"/>
      <c r="B143" s="1148"/>
      <c r="C143" s="386" t="s">
        <v>379</v>
      </c>
      <c r="D143" s="473" t="s">
        <v>138</v>
      </c>
      <c r="E143" s="628">
        <f>SUM(F143:G143)</f>
        <v>720969</v>
      </c>
      <c r="F143" s="621">
        <v>720969</v>
      </c>
      <c r="G143" s="1161"/>
      <c r="H143" s="1195"/>
      <c r="I143" s="1195"/>
      <c r="J143" s="1195"/>
      <c r="K143" s="1195"/>
      <c r="L143" s="1195"/>
      <c r="M143" s="1195"/>
      <c r="N143" s="1195"/>
    </row>
    <row r="144" spans="1:14" s="1157" customFormat="1" ht="30" customHeight="1">
      <c r="A144" s="1154"/>
      <c r="B144" s="1148"/>
      <c r="C144" s="386" t="s">
        <v>380</v>
      </c>
      <c r="D144" s="391" t="s">
        <v>415</v>
      </c>
      <c r="E144" s="628">
        <f>SUM(F144:G144)</f>
        <v>35000</v>
      </c>
      <c r="F144" s="621">
        <v>35000</v>
      </c>
      <c r="G144" s="1161"/>
      <c r="H144" s="1195"/>
      <c r="I144" s="1195"/>
      <c r="J144" s="1195"/>
      <c r="K144" s="1195"/>
      <c r="L144" s="1195"/>
      <c r="M144" s="1195"/>
      <c r="N144" s="1195"/>
    </row>
    <row r="145" spans="1:14" s="1157" customFormat="1" ht="25.5" customHeight="1">
      <c r="A145" s="1154"/>
      <c r="B145" s="1163"/>
      <c r="C145" s="386" t="s">
        <v>366</v>
      </c>
      <c r="D145" s="473" t="s">
        <v>395</v>
      </c>
      <c r="E145" s="628">
        <f>SUM(F145:G145)</f>
        <v>1300</v>
      </c>
      <c r="F145" s="583">
        <v>1300</v>
      </c>
      <c r="G145" s="1197"/>
      <c r="H145" s="1195"/>
      <c r="I145" s="1195"/>
      <c r="J145" s="1195"/>
      <c r="K145" s="1195"/>
      <c r="L145" s="1195"/>
      <c r="M145" s="1195"/>
      <c r="N145" s="1195"/>
    </row>
    <row r="146" spans="1:7" s="1157" customFormat="1" ht="14.25" customHeight="1">
      <c r="A146" s="1154"/>
      <c r="B146" s="1148"/>
      <c r="C146" s="1149"/>
      <c r="D146" s="1150"/>
      <c r="E146" s="1200"/>
      <c r="F146" s="1171"/>
      <c r="G146" s="1158"/>
    </row>
    <row r="147" spans="1:7" s="371" customFormat="1" ht="14.25" customHeight="1">
      <c r="A147" s="317"/>
      <c r="B147" s="352">
        <v>75621</v>
      </c>
      <c r="C147" s="375"/>
      <c r="D147" s="390" t="s">
        <v>575</v>
      </c>
      <c r="E147" s="575">
        <f>SUM(E148:E149)</f>
        <v>24005536</v>
      </c>
      <c r="F147" s="576">
        <f>SUM(F148:F149)</f>
        <v>24005536</v>
      </c>
      <c r="G147" s="577">
        <f>SUM(G148:G149)</f>
        <v>0</v>
      </c>
    </row>
    <row r="148" spans="1:7" s="371" customFormat="1" ht="25.5" customHeight="1">
      <c r="A148" s="317"/>
      <c r="B148" s="352"/>
      <c r="C148" s="351" t="s">
        <v>375</v>
      </c>
      <c r="D148" s="353" t="s">
        <v>400</v>
      </c>
      <c r="E148" s="630">
        <f>SUM(F148:G148)</f>
        <v>23108387</v>
      </c>
      <c r="F148" s="596">
        <v>23108387</v>
      </c>
      <c r="G148" s="464"/>
    </row>
    <row r="149" spans="1:7" s="371" customFormat="1" ht="25.5" customHeight="1" thickBot="1">
      <c r="A149" s="331"/>
      <c r="B149" s="372"/>
      <c r="C149" s="1317" t="s">
        <v>376</v>
      </c>
      <c r="D149" s="1318" t="s">
        <v>401</v>
      </c>
      <c r="E149" s="1319">
        <f>SUM(F149:G149)</f>
        <v>897149</v>
      </c>
      <c r="F149" s="795">
        <v>897149</v>
      </c>
      <c r="G149" s="625"/>
    </row>
    <row r="150" spans="1:7" s="1157" customFormat="1" ht="10.5" customHeight="1" thickTop="1">
      <c r="A150" s="1154"/>
      <c r="B150" s="1201"/>
      <c r="C150" s="1149"/>
      <c r="D150" s="1150"/>
      <c r="E150" s="1151"/>
      <c r="F150" s="1171"/>
      <c r="G150" s="1158"/>
    </row>
    <row r="151" spans="1:7" s="371" customFormat="1" ht="14.25" customHeight="1">
      <c r="A151" s="317">
        <v>758</v>
      </c>
      <c r="B151" s="328"/>
      <c r="C151" s="375"/>
      <c r="D151" s="390" t="s">
        <v>450</v>
      </c>
      <c r="E151" s="575">
        <f>SUM(E153+E156+E159)</f>
        <v>19249169</v>
      </c>
      <c r="F151" s="576">
        <f>SUM(F153+F156+F159)</f>
        <v>19249169</v>
      </c>
      <c r="G151" s="577">
        <f>SUM(G153+G156+G159)</f>
        <v>0</v>
      </c>
    </row>
    <row r="152" spans="1:7" s="1157" customFormat="1" ht="14.25" customHeight="1">
      <c r="A152" s="1154"/>
      <c r="B152" s="1148"/>
      <c r="C152" s="1149"/>
      <c r="D152" s="1150"/>
      <c r="E152" s="1151"/>
      <c r="F152" s="1192"/>
      <c r="G152" s="1152"/>
    </row>
    <row r="153" spans="1:7" s="371" customFormat="1" ht="14.25" customHeight="1">
      <c r="A153" s="317"/>
      <c r="B153" s="352">
        <v>75801</v>
      </c>
      <c r="C153" s="375"/>
      <c r="D153" s="390" t="s">
        <v>206</v>
      </c>
      <c r="E153" s="575">
        <f>SUM(E154)</f>
        <v>18516081</v>
      </c>
      <c r="F153" s="576">
        <f>SUM(F154)</f>
        <v>18516081</v>
      </c>
      <c r="G153" s="577">
        <f>SUM(G154)</f>
        <v>0</v>
      </c>
    </row>
    <row r="154" spans="1:7" s="371" customFormat="1" ht="25.5" customHeight="1">
      <c r="A154" s="321"/>
      <c r="B154" s="329"/>
      <c r="C154" s="374" t="s">
        <v>384</v>
      </c>
      <c r="D154" s="391" t="s">
        <v>418</v>
      </c>
      <c r="E154" s="628">
        <f>SUM(F154:G154)</f>
        <v>18516081</v>
      </c>
      <c r="F154" s="621">
        <v>18516081</v>
      </c>
      <c r="G154" s="622"/>
    </row>
    <row r="155" spans="1:7" s="572" customFormat="1" ht="14.25" customHeight="1">
      <c r="A155" s="1164">
        <v>1</v>
      </c>
      <c r="B155" s="1165">
        <v>2</v>
      </c>
      <c r="C155" s="1166">
        <v>3</v>
      </c>
      <c r="D155" s="1165">
        <v>4</v>
      </c>
      <c r="E155" s="1198">
        <v>5</v>
      </c>
      <c r="F155" s="1165">
        <v>6</v>
      </c>
      <c r="G155" s="1199">
        <v>7</v>
      </c>
    </row>
    <row r="156" spans="1:7" s="371" customFormat="1" ht="14.25" customHeight="1">
      <c r="A156" s="317"/>
      <c r="B156" s="352">
        <v>75814</v>
      </c>
      <c r="C156" s="375"/>
      <c r="D156" s="390" t="s">
        <v>93</v>
      </c>
      <c r="E156" s="575">
        <f>SUM(E157)</f>
        <v>100000</v>
      </c>
      <c r="F156" s="576">
        <f>SUM(F157)</f>
        <v>100000</v>
      </c>
      <c r="G156" s="577">
        <f>SUM(G157)</f>
        <v>0</v>
      </c>
    </row>
    <row r="157" spans="1:7" s="371" customFormat="1" ht="22.5" customHeight="1">
      <c r="A157" s="317"/>
      <c r="B157" s="329"/>
      <c r="C157" s="373" t="s">
        <v>364</v>
      </c>
      <c r="D157" s="353" t="s">
        <v>404</v>
      </c>
      <c r="E157" s="575">
        <f>SUM(F157:G157)</f>
        <v>100000</v>
      </c>
      <c r="F157" s="576">
        <v>100000</v>
      </c>
      <c r="G157" s="577"/>
    </row>
    <row r="158" spans="1:7" s="1157" customFormat="1" ht="8.25" customHeight="1">
      <c r="A158" s="1154"/>
      <c r="B158" s="1148"/>
      <c r="C158" s="1149"/>
      <c r="D158" s="1150"/>
      <c r="E158" s="1151"/>
      <c r="F158" s="1192"/>
      <c r="G158" s="1152"/>
    </row>
    <row r="159" spans="1:7" s="371" customFormat="1" ht="14.25" customHeight="1">
      <c r="A159" s="317"/>
      <c r="B159" s="352">
        <v>75831</v>
      </c>
      <c r="C159" s="375"/>
      <c r="D159" s="390" t="s">
        <v>207</v>
      </c>
      <c r="E159" s="575">
        <f>SUM(E160)</f>
        <v>633088</v>
      </c>
      <c r="F159" s="576">
        <f>SUM(F160)</f>
        <v>633088</v>
      </c>
      <c r="G159" s="577">
        <f>SUM(G160)</f>
        <v>0</v>
      </c>
    </row>
    <row r="160" spans="1:7" s="371" customFormat="1" ht="21" customHeight="1" thickBot="1">
      <c r="A160" s="331"/>
      <c r="B160" s="372"/>
      <c r="C160" s="357" t="s">
        <v>384</v>
      </c>
      <c r="D160" s="354" t="s">
        <v>418</v>
      </c>
      <c r="E160" s="627">
        <f>SUM(F160:G160)</f>
        <v>633088</v>
      </c>
      <c r="F160" s="624">
        <v>633088</v>
      </c>
      <c r="G160" s="625"/>
    </row>
    <row r="161" spans="1:7" s="1157" customFormat="1" ht="9" customHeight="1" thickTop="1">
      <c r="A161" s="1154"/>
      <c r="B161" s="1148"/>
      <c r="C161" s="1202"/>
      <c r="D161" s="1203"/>
      <c r="E161" s="1151"/>
      <c r="F161" s="1171"/>
      <c r="G161" s="1204"/>
    </row>
    <row r="162" spans="1:7" s="371" customFormat="1" ht="14.25" customHeight="1">
      <c r="A162" s="317">
        <v>801</v>
      </c>
      <c r="B162" s="328"/>
      <c r="C162" s="375"/>
      <c r="D162" s="390" t="s">
        <v>451</v>
      </c>
      <c r="E162" s="575">
        <f>E164</f>
        <v>7000</v>
      </c>
      <c r="F162" s="575">
        <f>F164</f>
        <v>7000</v>
      </c>
      <c r="G162" s="577">
        <f>G164</f>
        <v>0</v>
      </c>
    </row>
    <row r="163" spans="1:7" s="1157" customFormat="1" ht="9" customHeight="1">
      <c r="A163" s="1154"/>
      <c r="B163" s="1148"/>
      <c r="C163" s="1149"/>
      <c r="D163" s="1150"/>
      <c r="E163" s="1151"/>
      <c r="F163" s="1171"/>
      <c r="G163" s="1158"/>
    </row>
    <row r="164" spans="1:7" s="1157" customFormat="1" ht="14.25" customHeight="1">
      <c r="A164" s="1154"/>
      <c r="B164" s="352">
        <v>80110</v>
      </c>
      <c r="C164" s="375"/>
      <c r="D164" s="390" t="s">
        <v>473</v>
      </c>
      <c r="E164" s="575">
        <f>SUM(E165:E165)</f>
        <v>7000</v>
      </c>
      <c r="F164" s="576">
        <f>SUM(F165:F165)</f>
        <v>7000</v>
      </c>
      <c r="G164" s="577">
        <f>SUM(G165:G165)</f>
        <v>0</v>
      </c>
    </row>
    <row r="165" spans="1:7" s="371" customFormat="1" ht="39" thickBot="1">
      <c r="A165" s="382"/>
      <c r="B165" s="372"/>
      <c r="C165" s="631" t="s">
        <v>576</v>
      </c>
      <c r="D165" s="354" t="s">
        <v>344</v>
      </c>
      <c r="E165" s="627">
        <f>SUM(F165:G165)</f>
        <v>7000</v>
      </c>
      <c r="F165" s="632">
        <v>7000</v>
      </c>
      <c r="G165" s="633"/>
    </row>
    <row r="166" spans="1:7" s="371" customFormat="1" ht="7.5" customHeight="1" thickTop="1">
      <c r="A166" s="317"/>
      <c r="B166" s="327"/>
      <c r="C166" s="376"/>
      <c r="D166" s="389"/>
      <c r="E166" s="626"/>
      <c r="F166" s="585"/>
      <c r="G166" s="634"/>
    </row>
    <row r="167" spans="1:7" s="371" customFormat="1" ht="14.25" customHeight="1">
      <c r="A167" s="317">
        <v>851</v>
      </c>
      <c r="B167" s="328"/>
      <c r="C167" s="375"/>
      <c r="D167" s="390" t="s">
        <v>452</v>
      </c>
      <c r="E167" s="575">
        <f>SUM(E169)</f>
        <v>1500</v>
      </c>
      <c r="F167" s="576">
        <f>SUM(F169)</f>
        <v>1500</v>
      </c>
      <c r="G167" s="577">
        <f>SUM(G169)</f>
        <v>0</v>
      </c>
    </row>
    <row r="168" spans="1:7" s="371" customFormat="1" ht="14.25" customHeight="1">
      <c r="A168" s="317"/>
      <c r="B168" s="352"/>
      <c r="C168" s="376"/>
      <c r="D168" s="389"/>
      <c r="E168" s="542"/>
      <c r="F168" s="543"/>
      <c r="G168" s="579"/>
    </row>
    <row r="169" spans="1:7" s="371" customFormat="1" ht="14.25" customHeight="1">
      <c r="A169" s="317"/>
      <c r="B169" s="352">
        <v>85195</v>
      </c>
      <c r="C169" s="375"/>
      <c r="D169" s="390" t="s">
        <v>467</v>
      </c>
      <c r="E169" s="575">
        <f>SUM(E170:E170)</f>
        <v>1500</v>
      </c>
      <c r="F169" s="576">
        <f>SUM(F170:F170)</f>
        <v>1500</v>
      </c>
      <c r="G169" s="577">
        <f>SUM(G170:G170)</f>
        <v>0</v>
      </c>
    </row>
    <row r="170" spans="1:7" s="562" customFormat="1" ht="42" customHeight="1" thickBot="1">
      <c r="A170" s="791"/>
      <c r="B170" s="792"/>
      <c r="C170" s="793" t="s">
        <v>387</v>
      </c>
      <c r="D170" s="797" t="s">
        <v>5</v>
      </c>
      <c r="E170" s="798">
        <f>SUM(F170:G170)</f>
        <v>1500</v>
      </c>
      <c r="F170" s="799">
        <v>1500</v>
      </c>
      <c r="G170" s="796"/>
    </row>
    <row r="171" spans="1:7" s="1157" customFormat="1" ht="9" customHeight="1" thickTop="1">
      <c r="A171" s="1154"/>
      <c r="B171" s="1201"/>
      <c r="C171" s="1169"/>
      <c r="D171" s="1203"/>
      <c r="E171" s="1151"/>
      <c r="F171" s="1171"/>
      <c r="G171" s="1158"/>
    </row>
    <row r="172" spans="1:7" s="371" customFormat="1" ht="14.25" customHeight="1">
      <c r="A172" s="317">
        <v>852</v>
      </c>
      <c r="B172" s="328"/>
      <c r="C172" s="375"/>
      <c r="D172" s="390" t="s">
        <v>297</v>
      </c>
      <c r="E172" s="575">
        <f>E174+E179+E181+E185+E187+E190</f>
        <v>2094350</v>
      </c>
      <c r="F172" s="575">
        <f>F174+F179+F181+F185+F187+F190</f>
        <v>2094350</v>
      </c>
      <c r="G172" s="577">
        <f>G174+G179+G181+G185+G187+G190</f>
        <v>0</v>
      </c>
    </row>
    <row r="173" spans="1:7" s="371" customFormat="1" ht="14.25" customHeight="1">
      <c r="A173" s="317"/>
      <c r="B173" s="352">
        <v>85212</v>
      </c>
      <c r="C173" s="376"/>
      <c r="D173" s="389" t="s">
        <v>577</v>
      </c>
      <c r="E173" s="542"/>
      <c r="F173" s="543"/>
      <c r="G173" s="579"/>
    </row>
    <row r="174" spans="1:7" s="371" customFormat="1" ht="14.25" customHeight="1">
      <c r="A174" s="317"/>
      <c r="B174" s="352"/>
      <c r="C174" s="375"/>
      <c r="D174" s="390" t="s">
        <v>10</v>
      </c>
      <c r="E174" s="575">
        <f>E175+E176</f>
        <v>50000</v>
      </c>
      <c r="F174" s="575">
        <f>F175+F176</f>
        <v>50000</v>
      </c>
      <c r="G174" s="577">
        <f>G175+G176</f>
        <v>0</v>
      </c>
    </row>
    <row r="175" spans="1:7" s="371" customFormat="1" ht="24" customHeight="1">
      <c r="A175" s="320"/>
      <c r="B175" s="352"/>
      <c r="C175" s="351" t="s">
        <v>578</v>
      </c>
      <c r="D175" s="391" t="s">
        <v>579</v>
      </c>
      <c r="E175" s="575">
        <f>SUM(F175:G175)</f>
        <v>30000</v>
      </c>
      <c r="F175" s="621">
        <v>30000</v>
      </c>
      <c r="G175" s="622"/>
    </row>
    <row r="176" spans="1:7" s="371" customFormat="1" ht="25.5">
      <c r="A176" s="320"/>
      <c r="B176" s="329"/>
      <c r="C176" s="351" t="s">
        <v>488</v>
      </c>
      <c r="D176" s="391" t="s">
        <v>490</v>
      </c>
      <c r="E176" s="575">
        <f>SUM(F176:G176)</f>
        <v>20000</v>
      </c>
      <c r="F176" s="621">
        <v>20000</v>
      </c>
      <c r="G176" s="622"/>
    </row>
    <row r="177" spans="1:7" s="371" customFormat="1" ht="14.25" customHeight="1">
      <c r="A177" s="317"/>
      <c r="B177" s="352">
        <v>85213</v>
      </c>
      <c r="C177" s="376"/>
      <c r="D177" s="781" t="s">
        <v>580</v>
      </c>
      <c r="E177" s="542"/>
      <c r="F177" s="543"/>
      <c r="G177" s="635"/>
    </row>
    <row r="178" spans="1:7" s="371" customFormat="1" ht="14.25" customHeight="1">
      <c r="A178" s="317"/>
      <c r="B178" s="352"/>
      <c r="C178" s="376"/>
      <c r="D178" s="389" t="s">
        <v>581</v>
      </c>
      <c r="E178" s="542"/>
      <c r="F178" s="542"/>
      <c r="G178" s="579"/>
    </row>
    <row r="179" spans="1:7" s="371" customFormat="1" ht="14.25" customHeight="1">
      <c r="A179" s="317"/>
      <c r="B179" s="352"/>
      <c r="C179" s="654"/>
      <c r="D179" s="390" t="s">
        <v>328</v>
      </c>
      <c r="E179" s="575">
        <f>E180</f>
        <v>84000</v>
      </c>
      <c r="F179" s="575">
        <f>F180</f>
        <v>84000</v>
      </c>
      <c r="G179" s="577">
        <f>G180</f>
        <v>0</v>
      </c>
    </row>
    <row r="180" spans="1:7" s="371" customFormat="1" ht="27.75" customHeight="1">
      <c r="A180" s="320"/>
      <c r="B180" s="329"/>
      <c r="C180" s="351" t="s">
        <v>296</v>
      </c>
      <c r="D180" s="391" t="s">
        <v>437</v>
      </c>
      <c r="E180" s="575">
        <f>SUM(F180:G180)</f>
        <v>84000</v>
      </c>
      <c r="F180" s="621">
        <v>84000</v>
      </c>
      <c r="G180" s="622"/>
    </row>
    <row r="181" spans="1:7" s="371" customFormat="1" ht="23.25" customHeight="1">
      <c r="A181" s="317"/>
      <c r="B181" s="352">
        <v>85214</v>
      </c>
      <c r="C181" s="375"/>
      <c r="D181" s="390" t="s">
        <v>208</v>
      </c>
      <c r="E181" s="575">
        <f>SUM(E182:E183)</f>
        <v>402000</v>
      </c>
      <c r="F181" s="576">
        <f>SUM(F182:F183)</f>
        <v>402000</v>
      </c>
      <c r="G181" s="577">
        <f>SUM(G182:G183)</f>
        <v>0</v>
      </c>
    </row>
    <row r="182" spans="1:7" s="371" customFormat="1" ht="25.5" customHeight="1">
      <c r="A182" s="317"/>
      <c r="B182" s="352"/>
      <c r="C182" s="351" t="s">
        <v>365</v>
      </c>
      <c r="D182" s="392" t="s">
        <v>394</v>
      </c>
      <c r="E182" s="575">
        <f>SUM(F182:G182)</f>
        <v>5000</v>
      </c>
      <c r="F182" s="621">
        <v>5000</v>
      </c>
      <c r="G182" s="622"/>
    </row>
    <row r="183" spans="1:7" s="371" customFormat="1" ht="25.5">
      <c r="A183" s="320"/>
      <c r="B183" s="329"/>
      <c r="C183" s="374" t="s">
        <v>296</v>
      </c>
      <c r="D183" s="391" t="s">
        <v>437</v>
      </c>
      <c r="E183" s="575">
        <f>SUM(F183:G183)</f>
        <v>397000</v>
      </c>
      <c r="F183" s="583">
        <v>397000</v>
      </c>
      <c r="G183" s="464"/>
    </row>
    <row r="184" spans="1:7" s="1210" customFormat="1" ht="6.75" customHeight="1">
      <c r="A184" s="1205"/>
      <c r="B184" s="1206"/>
      <c r="C184" s="1207"/>
      <c r="D184" s="1206"/>
      <c r="E184" s="1208"/>
      <c r="F184" s="1206"/>
      <c r="G184" s="1209"/>
    </row>
    <row r="185" spans="1:7" s="371" customFormat="1" ht="17.25" customHeight="1">
      <c r="A185" s="317"/>
      <c r="B185" s="352">
        <v>85216</v>
      </c>
      <c r="C185" s="375"/>
      <c r="D185" s="390" t="s">
        <v>56</v>
      </c>
      <c r="E185" s="575">
        <f>SUM(E186)</f>
        <v>959000</v>
      </c>
      <c r="F185" s="576">
        <f>SUM(F186)</f>
        <v>959000</v>
      </c>
      <c r="G185" s="577">
        <f>SUM(G186)</f>
        <v>0</v>
      </c>
    </row>
    <row r="186" spans="1:7" s="371" customFormat="1" ht="25.5">
      <c r="A186" s="320"/>
      <c r="B186" s="329"/>
      <c r="C186" s="374" t="s">
        <v>296</v>
      </c>
      <c r="D186" s="391" t="s">
        <v>437</v>
      </c>
      <c r="E186" s="575">
        <f>SUM(F186:G186)</f>
        <v>959000</v>
      </c>
      <c r="F186" s="621">
        <v>959000</v>
      </c>
      <c r="G186" s="622"/>
    </row>
    <row r="187" spans="1:7" s="371" customFormat="1" ht="22.5" customHeight="1">
      <c r="A187" s="317"/>
      <c r="B187" s="352">
        <v>85219</v>
      </c>
      <c r="C187" s="375"/>
      <c r="D187" s="390" t="s">
        <v>355</v>
      </c>
      <c r="E187" s="575">
        <f>E188</f>
        <v>549000</v>
      </c>
      <c r="F187" s="575">
        <f>F188</f>
        <v>549000</v>
      </c>
      <c r="G187" s="577">
        <f>G188</f>
        <v>0</v>
      </c>
    </row>
    <row r="188" spans="1:7" s="371" customFormat="1" ht="25.5">
      <c r="A188" s="317"/>
      <c r="B188" s="329"/>
      <c r="C188" s="374" t="s">
        <v>296</v>
      </c>
      <c r="D188" s="391" t="s">
        <v>437</v>
      </c>
      <c r="E188" s="575">
        <f>SUM(F188:G188)</f>
        <v>549000</v>
      </c>
      <c r="F188" s="585">
        <v>549000</v>
      </c>
      <c r="G188" s="464"/>
    </row>
    <row r="189" spans="1:7" s="1157" customFormat="1" ht="9" customHeight="1">
      <c r="A189" s="1154"/>
      <c r="B189" s="1148"/>
      <c r="C189" s="1169"/>
      <c r="D189" s="1203"/>
      <c r="E189" s="1151"/>
      <c r="F189" s="1155"/>
      <c r="G189" s="1156"/>
    </row>
    <row r="190" spans="1:7" s="371" customFormat="1" ht="14.25" customHeight="1">
      <c r="A190" s="317"/>
      <c r="B190" s="352">
        <v>85228</v>
      </c>
      <c r="C190" s="375"/>
      <c r="D190" s="390" t="s">
        <v>302</v>
      </c>
      <c r="E190" s="575">
        <f>SUM(E191:E192)</f>
        <v>50350</v>
      </c>
      <c r="F190" s="576">
        <f>SUM(F191:F192)</f>
        <v>50350</v>
      </c>
      <c r="G190" s="577">
        <f>SUM(G191:G192)</f>
        <v>0</v>
      </c>
    </row>
    <row r="191" spans="1:7" s="371" customFormat="1" ht="24" customHeight="1">
      <c r="A191" s="317"/>
      <c r="B191" s="352"/>
      <c r="C191" s="351" t="s">
        <v>385</v>
      </c>
      <c r="D191" s="353" t="s">
        <v>402</v>
      </c>
      <c r="E191" s="575">
        <f>SUM(F191:G191)</f>
        <v>50000</v>
      </c>
      <c r="F191" s="585">
        <v>50000</v>
      </c>
      <c r="G191" s="463"/>
    </row>
    <row r="192" spans="1:7" s="371" customFormat="1" ht="27.75" customHeight="1">
      <c r="A192" s="321"/>
      <c r="B192" s="329"/>
      <c r="C192" s="351" t="s">
        <v>488</v>
      </c>
      <c r="D192" s="391" t="s">
        <v>490</v>
      </c>
      <c r="E192" s="575">
        <f>SUM(F192:G192)</f>
        <v>350</v>
      </c>
      <c r="F192" s="621">
        <v>350</v>
      </c>
      <c r="G192" s="622"/>
    </row>
    <row r="193" spans="1:7" s="572" customFormat="1" ht="14.25" customHeight="1">
      <c r="A193" s="1164">
        <v>1</v>
      </c>
      <c r="B193" s="1165">
        <v>2</v>
      </c>
      <c r="C193" s="1166">
        <v>3</v>
      </c>
      <c r="D193" s="1165">
        <v>4</v>
      </c>
      <c r="E193" s="1198">
        <v>5</v>
      </c>
      <c r="F193" s="1165">
        <v>6</v>
      </c>
      <c r="G193" s="1199">
        <v>7</v>
      </c>
    </row>
    <row r="194" spans="1:7" s="1213" customFormat="1" ht="12" customHeight="1">
      <c r="A194" s="1205"/>
      <c r="B194" s="1206"/>
      <c r="C194" s="1207"/>
      <c r="D194" s="1206"/>
      <c r="E194" s="1211"/>
      <c r="F194" s="1212"/>
      <c r="G194" s="1186"/>
    </row>
    <row r="195" spans="1:7" s="371" customFormat="1" ht="14.25" customHeight="1">
      <c r="A195" s="317">
        <v>853</v>
      </c>
      <c r="B195" s="327"/>
      <c r="C195" s="375"/>
      <c r="D195" s="390" t="s">
        <v>61</v>
      </c>
      <c r="E195" s="575">
        <f>SUM(E197)</f>
        <v>620144</v>
      </c>
      <c r="F195" s="575">
        <f>SUM(F197)</f>
        <v>620144</v>
      </c>
      <c r="G195" s="577">
        <f>SUM(G197)</f>
        <v>0</v>
      </c>
    </row>
    <row r="196" spans="1:7" s="1157" customFormat="1" ht="12.75">
      <c r="A196" s="1154"/>
      <c r="B196" s="1173"/>
      <c r="C196" s="1214"/>
      <c r="D196" s="1170"/>
      <c r="E196" s="542"/>
      <c r="F196" s="585"/>
      <c r="G196" s="463"/>
    </row>
    <row r="197" spans="1:7" s="1157" customFormat="1" ht="12.75">
      <c r="A197" s="1154"/>
      <c r="B197" s="352">
        <v>85395</v>
      </c>
      <c r="C197" s="1215"/>
      <c r="D197" s="353" t="s">
        <v>467</v>
      </c>
      <c r="E197" s="542">
        <f>SUM(E198:E199)</f>
        <v>620144</v>
      </c>
      <c r="F197" s="542">
        <f>SUM(F198:F199)</f>
        <v>620144</v>
      </c>
      <c r="G197" s="579">
        <f>SUM(G198:G199)</f>
        <v>0</v>
      </c>
    </row>
    <row r="198" spans="1:7" s="1157" customFormat="1" ht="38.25">
      <c r="A198" s="1154"/>
      <c r="B198" s="1148"/>
      <c r="C198" s="800">
        <v>2708</v>
      </c>
      <c r="D198" s="391" t="s">
        <v>344</v>
      </c>
      <c r="E198" s="801">
        <f>F198+G198</f>
        <v>527122</v>
      </c>
      <c r="F198" s="621">
        <v>527122</v>
      </c>
      <c r="G198" s="622"/>
    </row>
    <row r="199" spans="1:7" s="1157" customFormat="1" ht="39" thickBot="1">
      <c r="A199" s="1177"/>
      <c r="B199" s="1216"/>
      <c r="C199" s="802">
        <v>2709</v>
      </c>
      <c r="D199" s="354" t="s">
        <v>344</v>
      </c>
      <c r="E199" s="627">
        <f>F199+G199</f>
        <v>93022</v>
      </c>
      <c r="F199" s="632">
        <v>93022</v>
      </c>
      <c r="G199" s="633"/>
    </row>
    <row r="200" spans="1:7" s="1157" customFormat="1" ht="14.25" customHeight="1" thickTop="1">
      <c r="A200" s="1154"/>
      <c r="B200" s="1148"/>
      <c r="C200" s="1149"/>
      <c r="D200" s="1150"/>
      <c r="E200" s="1151"/>
      <c r="F200" s="1171"/>
      <c r="G200" s="1158"/>
    </row>
    <row r="201" spans="1:7" s="371" customFormat="1" ht="14.25" customHeight="1">
      <c r="A201" s="317">
        <v>900</v>
      </c>
      <c r="B201" s="328"/>
      <c r="C201" s="375"/>
      <c r="D201" s="390" t="s">
        <v>389</v>
      </c>
      <c r="E201" s="575">
        <f>E203+E209+E212+E215</f>
        <v>6749064</v>
      </c>
      <c r="F201" s="575">
        <f>F203+F209+F212+F215</f>
        <v>4294385</v>
      </c>
      <c r="G201" s="577">
        <f>G203+G209+G212+G215</f>
        <v>2454679</v>
      </c>
    </row>
    <row r="202" spans="1:7" s="1157" customFormat="1" ht="9.75" customHeight="1">
      <c r="A202" s="1154"/>
      <c r="B202" s="1148"/>
      <c r="C202" s="1149"/>
      <c r="D202" s="1150"/>
      <c r="E202" s="1151"/>
      <c r="F202" s="1192"/>
      <c r="G202" s="1152"/>
    </row>
    <row r="203" spans="1:7" s="371" customFormat="1" ht="14.25" customHeight="1">
      <c r="A203" s="317"/>
      <c r="B203" s="352">
        <v>90001</v>
      </c>
      <c r="C203" s="375"/>
      <c r="D203" s="390" t="s">
        <v>108</v>
      </c>
      <c r="E203" s="575">
        <f>SUM(E204:E205)</f>
        <v>2000000</v>
      </c>
      <c r="F203" s="575">
        <f>SUM(F204:F205)</f>
        <v>0</v>
      </c>
      <c r="G203" s="577">
        <f>SUM(G204:G205)</f>
        <v>2000000</v>
      </c>
    </row>
    <row r="204" spans="1:7" s="1187" customFormat="1" ht="29.25" customHeight="1" hidden="1" thickBot="1">
      <c r="A204" s="1180"/>
      <c r="B204" s="1181"/>
      <c r="C204" s="803">
        <v>6298</v>
      </c>
      <c r="D204" s="788" t="s">
        <v>135</v>
      </c>
      <c r="E204" s="674">
        <f>SUM(F204:G204)</f>
        <v>0</v>
      </c>
      <c r="F204" s="1217"/>
      <c r="G204" s="786"/>
    </row>
    <row r="205" spans="1:7" s="1187" customFormat="1" ht="43.5" customHeight="1">
      <c r="A205" s="1180"/>
      <c r="B205" s="1191"/>
      <c r="C205" s="804">
        <v>6260</v>
      </c>
      <c r="D205" s="805" t="s">
        <v>388</v>
      </c>
      <c r="E205" s="620">
        <f>SUM(F205:G205)</f>
        <v>2000000</v>
      </c>
      <c r="F205" s="789"/>
      <c r="G205" s="790">
        <v>2000000</v>
      </c>
    </row>
    <row r="206" spans="1:7" s="1157" customFormat="1" ht="9" customHeight="1">
      <c r="A206" s="1154"/>
      <c r="B206" s="1148"/>
      <c r="C206" s="1149"/>
      <c r="D206" s="1150"/>
      <c r="E206" s="1151"/>
      <c r="F206" s="1171"/>
      <c r="G206" s="1158"/>
    </row>
    <row r="207" spans="1:7" s="562" customFormat="1" ht="14.25" customHeight="1" hidden="1">
      <c r="A207" s="343"/>
      <c r="B207" s="733">
        <v>90002</v>
      </c>
      <c r="C207" s="783"/>
      <c r="D207" s="784" t="s">
        <v>476</v>
      </c>
      <c r="E207" s="674" t="e">
        <f>#REF!</f>
        <v>#REF!</v>
      </c>
      <c r="F207" s="674" t="e">
        <f>#REF!</f>
        <v>#REF!</v>
      </c>
      <c r="G207" s="786" t="e">
        <f>#REF!</f>
        <v>#REF!</v>
      </c>
    </row>
    <row r="208" spans="1:7" s="371" customFormat="1" ht="12.75" hidden="1">
      <c r="A208" s="317"/>
      <c r="B208" s="352"/>
      <c r="C208" s="359"/>
      <c r="D208" s="392"/>
      <c r="E208" s="542"/>
      <c r="F208" s="585"/>
      <c r="G208" s="463"/>
    </row>
    <row r="209" spans="1:7" s="371" customFormat="1" ht="12.75">
      <c r="A209" s="317"/>
      <c r="B209" s="352">
        <v>90004</v>
      </c>
      <c r="C209" s="356"/>
      <c r="D209" s="353" t="s">
        <v>319</v>
      </c>
      <c r="E209" s="575">
        <f>SUM(E210)</f>
        <v>1499500</v>
      </c>
      <c r="F209" s="576">
        <f>SUM(F210)</f>
        <v>1499500</v>
      </c>
      <c r="G209" s="577">
        <f>SUM(G210)</f>
        <v>0</v>
      </c>
    </row>
    <row r="210" spans="1:7" s="371" customFormat="1" ht="34.5" customHeight="1">
      <c r="A210" s="320"/>
      <c r="B210" s="329"/>
      <c r="C210" s="356" t="s">
        <v>8</v>
      </c>
      <c r="D210" s="353" t="s">
        <v>6</v>
      </c>
      <c r="E210" s="575">
        <f>SUM(F210:G210)</f>
        <v>1499500</v>
      </c>
      <c r="F210" s="583">
        <v>1499500</v>
      </c>
      <c r="G210" s="464"/>
    </row>
    <row r="211" spans="1:7" s="371" customFormat="1" ht="14.25" customHeight="1">
      <c r="A211" s="317"/>
      <c r="B211" s="352">
        <v>90020</v>
      </c>
      <c r="C211" s="376"/>
      <c r="D211" s="389" t="s">
        <v>484</v>
      </c>
      <c r="E211" s="542"/>
      <c r="F211" s="585"/>
      <c r="G211" s="463"/>
    </row>
    <row r="212" spans="1:7" s="371" customFormat="1" ht="14.25" customHeight="1">
      <c r="A212" s="317"/>
      <c r="B212" s="352"/>
      <c r="C212" s="375"/>
      <c r="D212" s="390" t="s">
        <v>485</v>
      </c>
      <c r="E212" s="575">
        <f>SUM(E213)</f>
        <v>50000</v>
      </c>
      <c r="F212" s="576">
        <f>SUM(F213)</f>
        <v>50000</v>
      </c>
      <c r="G212" s="577">
        <f>SUM(G213)</f>
        <v>0</v>
      </c>
    </row>
    <row r="213" spans="1:7" s="371" customFormat="1" ht="25.5" customHeight="1">
      <c r="A213" s="320"/>
      <c r="B213" s="329"/>
      <c r="C213" s="351" t="s">
        <v>386</v>
      </c>
      <c r="D213" s="353" t="s">
        <v>403</v>
      </c>
      <c r="E213" s="628">
        <f>SUM(F213:G213)</f>
        <v>50000</v>
      </c>
      <c r="F213" s="583">
        <v>50000</v>
      </c>
      <c r="G213" s="464"/>
    </row>
    <row r="214" spans="1:7" s="1157" customFormat="1" ht="6" customHeight="1">
      <c r="A214" s="1154"/>
      <c r="B214" s="1148"/>
      <c r="C214" s="1149"/>
      <c r="D214" s="1150"/>
      <c r="E214" s="1218"/>
      <c r="F214" s="1155"/>
      <c r="G214" s="1219"/>
    </row>
    <row r="215" spans="1:7" s="371" customFormat="1" ht="14.25" customHeight="1">
      <c r="A215" s="317"/>
      <c r="B215" s="352">
        <v>90095</v>
      </c>
      <c r="C215" s="375"/>
      <c r="D215" s="390" t="s">
        <v>467</v>
      </c>
      <c r="E215" s="638">
        <f>E216+E217+E218+E219+E220+E221+E222+E223+E224+E225+E226+E227</f>
        <v>3199564</v>
      </c>
      <c r="F215" s="576">
        <f>F216+F217+F218+F219+F220+F221+F222+F223+F224+F225+F226+F227</f>
        <v>2744885</v>
      </c>
      <c r="G215" s="577">
        <f>G216+G217+G218+G219+G220+G221+G222+G223+G224+G225+G226+G227</f>
        <v>454679</v>
      </c>
    </row>
    <row r="216" spans="1:7" s="371" customFormat="1" ht="25.5" customHeight="1">
      <c r="A216" s="317"/>
      <c r="B216" s="352"/>
      <c r="C216" s="355" t="s">
        <v>363</v>
      </c>
      <c r="D216" s="391" t="s">
        <v>391</v>
      </c>
      <c r="E216" s="575">
        <f aca="true" t="shared" si="2" ref="E216:E224">SUM(F216:G216)</f>
        <v>1402000</v>
      </c>
      <c r="F216" s="621">
        <v>1402000</v>
      </c>
      <c r="G216" s="639"/>
    </row>
    <row r="217" spans="1:7" s="371" customFormat="1" ht="25.5">
      <c r="A217" s="317"/>
      <c r="B217" s="352"/>
      <c r="C217" s="355" t="s">
        <v>380</v>
      </c>
      <c r="D217" s="391" t="s">
        <v>415</v>
      </c>
      <c r="E217" s="575">
        <f t="shared" si="2"/>
        <v>50000</v>
      </c>
      <c r="F217" s="585">
        <v>50000</v>
      </c>
      <c r="G217" s="323"/>
    </row>
    <row r="218" spans="1:7" s="371" customFormat="1" ht="38.25">
      <c r="A218" s="317"/>
      <c r="B218" s="352"/>
      <c r="C218" s="355" t="s">
        <v>387</v>
      </c>
      <c r="D218" s="391" t="s">
        <v>5</v>
      </c>
      <c r="E218" s="575">
        <f>SUM(F218:G218)</f>
        <v>878957</v>
      </c>
      <c r="F218" s="621">
        <v>878957</v>
      </c>
      <c r="G218" s="639"/>
    </row>
    <row r="219" spans="1:7" s="371" customFormat="1" ht="33.75" customHeight="1">
      <c r="A219" s="317"/>
      <c r="B219" s="352"/>
      <c r="C219" s="355" t="s">
        <v>486</v>
      </c>
      <c r="D219" s="353" t="s">
        <v>487</v>
      </c>
      <c r="E219" s="575">
        <f t="shared" si="2"/>
        <v>13000</v>
      </c>
      <c r="F219" s="621"/>
      <c r="G219" s="639">
        <v>13000</v>
      </c>
    </row>
    <row r="220" spans="1:7" s="371" customFormat="1" ht="25.5">
      <c r="A220" s="317"/>
      <c r="B220" s="352"/>
      <c r="C220" s="377" t="s">
        <v>62</v>
      </c>
      <c r="D220" s="391" t="s">
        <v>63</v>
      </c>
      <c r="E220" s="575">
        <f>SUM(F220:G220)</f>
        <v>170000</v>
      </c>
      <c r="F220" s="585"/>
      <c r="G220" s="323">
        <v>170000</v>
      </c>
    </row>
    <row r="221" spans="1:7" s="371" customFormat="1" ht="25.5" customHeight="1">
      <c r="A221" s="317"/>
      <c r="B221" s="352"/>
      <c r="C221" s="377" t="s">
        <v>385</v>
      </c>
      <c r="D221" s="393" t="s">
        <v>402</v>
      </c>
      <c r="E221" s="575">
        <f t="shared" si="2"/>
        <v>8928</v>
      </c>
      <c r="F221" s="621">
        <v>8928</v>
      </c>
      <c r="G221" s="639"/>
    </row>
    <row r="222" spans="1:14" s="371" customFormat="1" ht="25.5" customHeight="1">
      <c r="A222" s="317"/>
      <c r="B222" s="352"/>
      <c r="C222" s="386" t="s">
        <v>383</v>
      </c>
      <c r="D222" s="391" t="s">
        <v>417</v>
      </c>
      <c r="E222" s="628">
        <f>F222+G222</f>
        <v>1000</v>
      </c>
      <c r="F222" s="621">
        <v>1000</v>
      </c>
      <c r="G222" s="622"/>
      <c r="H222" s="385"/>
      <c r="I222" s="369"/>
      <c r="J222" s="387"/>
      <c r="K222" s="370"/>
      <c r="L222" s="370"/>
      <c r="M222" s="370"/>
      <c r="N222" s="370"/>
    </row>
    <row r="223" spans="1:7" s="371" customFormat="1" ht="25.5" customHeight="1">
      <c r="A223" s="317"/>
      <c r="B223" s="352"/>
      <c r="C223" s="355" t="s">
        <v>364</v>
      </c>
      <c r="D223" s="391" t="s">
        <v>404</v>
      </c>
      <c r="E223" s="575">
        <f t="shared" si="2"/>
        <v>23000</v>
      </c>
      <c r="F223" s="621">
        <v>23000</v>
      </c>
      <c r="G223" s="639"/>
    </row>
    <row r="224" spans="1:7" s="371" customFormat="1" ht="25.5" customHeight="1">
      <c r="A224" s="317"/>
      <c r="B224" s="352"/>
      <c r="C224" s="374" t="s">
        <v>365</v>
      </c>
      <c r="D224" s="391" t="s">
        <v>394</v>
      </c>
      <c r="E224" s="575">
        <f t="shared" si="2"/>
        <v>81000</v>
      </c>
      <c r="F224" s="585">
        <v>81000</v>
      </c>
      <c r="G224" s="323"/>
    </row>
    <row r="225" spans="1:7" s="371" customFormat="1" ht="25.5" customHeight="1">
      <c r="A225" s="317"/>
      <c r="B225" s="352"/>
      <c r="C225" s="374" t="s">
        <v>8</v>
      </c>
      <c r="D225" s="391" t="s">
        <v>6</v>
      </c>
      <c r="E225" s="628">
        <f>SUM(F225:G225)</f>
        <v>300000</v>
      </c>
      <c r="F225" s="621">
        <v>300000</v>
      </c>
      <c r="G225" s="639"/>
    </row>
    <row r="226" spans="1:7" s="371" customFormat="1" ht="25.5" customHeight="1">
      <c r="A226" s="321"/>
      <c r="B226" s="329"/>
      <c r="C226" s="804">
        <v>6269</v>
      </c>
      <c r="D226" s="805" t="s">
        <v>388</v>
      </c>
      <c r="E226" s="628">
        <f>SUM(F226:G226)</f>
        <v>271679</v>
      </c>
      <c r="F226" s="621"/>
      <c r="G226" s="639">
        <v>271679</v>
      </c>
    </row>
    <row r="227" spans="1:7" s="371" customFormat="1" ht="25.5" customHeight="1" hidden="1">
      <c r="A227" s="331"/>
      <c r="B227" s="372"/>
      <c r="C227" s="1220">
        <v>6298</v>
      </c>
      <c r="D227" s="794" t="s">
        <v>135</v>
      </c>
      <c r="E227" s="627">
        <f>SUM(F227:G227)</f>
        <v>0</v>
      </c>
      <c r="F227" s="632"/>
      <c r="G227" s="1221"/>
    </row>
    <row r="228" spans="1:7" s="1157" customFormat="1" ht="9.75" customHeight="1" hidden="1">
      <c r="A228" s="1154"/>
      <c r="B228" s="1148"/>
      <c r="C228" s="1149"/>
      <c r="D228" s="1150"/>
      <c r="E228" s="1222"/>
      <c r="F228" s="1171"/>
      <c r="G228" s="1223"/>
    </row>
    <row r="229" spans="1:7" s="371" customFormat="1" ht="13.5" customHeight="1" hidden="1">
      <c r="A229" s="317">
        <v>921</v>
      </c>
      <c r="B229" s="329"/>
      <c r="C229" s="375"/>
      <c r="D229" s="390" t="s">
        <v>7</v>
      </c>
      <c r="E229" s="638">
        <f>SUM(E231)</f>
        <v>0</v>
      </c>
      <c r="F229" s="576">
        <f>SUM(F231)</f>
        <v>0</v>
      </c>
      <c r="G229" s="334">
        <f>SUM(G231)</f>
        <v>0</v>
      </c>
    </row>
    <row r="230" spans="1:7" s="1157" customFormat="1" ht="14.25" customHeight="1" hidden="1">
      <c r="A230" s="1154"/>
      <c r="B230" s="1148"/>
      <c r="C230" s="1149"/>
      <c r="D230" s="1150"/>
      <c r="E230" s="1222"/>
      <c r="F230" s="1192"/>
      <c r="G230" s="1224"/>
    </row>
    <row r="231" spans="1:7" s="371" customFormat="1" ht="14.25" customHeight="1" hidden="1">
      <c r="A231" s="317"/>
      <c r="B231" s="352">
        <v>92109</v>
      </c>
      <c r="C231" s="375"/>
      <c r="D231" s="390" t="s">
        <v>110</v>
      </c>
      <c r="E231" s="638">
        <f>SUM(E232)</f>
        <v>0</v>
      </c>
      <c r="F231" s="576">
        <f>SUM(F232)</f>
        <v>0</v>
      </c>
      <c r="G231" s="334">
        <f>SUM(G232)</f>
        <v>0</v>
      </c>
    </row>
    <row r="232" spans="1:7" s="371" customFormat="1" ht="40.5" customHeight="1" hidden="1">
      <c r="A232" s="317"/>
      <c r="B232" s="352"/>
      <c r="C232" s="780">
        <v>6298</v>
      </c>
      <c r="D232" s="1225" t="s">
        <v>135</v>
      </c>
      <c r="E232" s="542">
        <f>SUM(F232:G232)</f>
        <v>0</v>
      </c>
      <c r="F232" s="585"/>
      <c r="G232" s="323"/>
    </row>
    <row r="233" spans="1:7" s="572" customFormat="1" ht="14.25" customHeight="1">
      <c r="A233" s="1164">
        <v>1</v>
      </c>
      <c r="B233" s="1165">
        <v>2</v>
      </c>
      <c r="C233" s="1166">
        <v>3</v>
      </c>
      <c r="D233" s="1165">
        <v>4</v>
      </c>
      <c r="E233" s="1198">
        <v>5</v>
      </c>
      <c r="F233" s="1165">
        <v>6</v>
      </c>
      <c r="G233" s="1199">
        <v>7</v>
      </c>
    </row>
    <row r="234" spans="1:7" s="371" customFormat="1" ht="27" customHeight="1">
      <c r="A234" s="317">
        <v>926</v>
      </c>
      <c r="B234" s="328"/>
      <c r="C234" s="375"/>
      <c r="D234" s="390" t="s">
        <v>88</v>
      </c>
      <c r="E234" s="638">
        <f>SUM(E236,)</f>
        <v>666000</v>
      </c>
      <c r="F234" s="576">
        <f>SUM(F236,)</f>
        <v>0</v>
      </c>
      <c r="G234" s="334">
        <f>SUM(G236,)</f>
        <v>666000</v>
      </c>
    </row>
    <row r="235" spans="1:7" s="1157" customFormat="1" ht="9" customHeight="1">
      <c r="A235" s="1154"/>
      <c r="B235" s="1173"/>
      <c r="C235" s="1149"/>
      <c r="D235" s="1150"/>
      <c r="E235" s="1226"/>
      <c r="F235" s="1227"/>
      <c r="G235" s="1228"/>
    </row>
    <row r="236" spans="1:7" s="371" customFormat="1" ht="18" customHeight="1">
      <c r="A236" s="317"/>
      <c r="B236" s="352">
        <v>92601</v>
      </c>
      <c r="C236" s="375"/>
      <c r="D236" s="390" t="s">
        <v>274</v>
      </c>
      <c r="E236" s="638">
        <f>SUM(E237:E238)</f>
        <v>666000</v>
      </c>
      <c r="F236" s="576">
        <f>SUM(F237:F238)</f>
        <v>0</v>
      </c>
      <c r="G236" s="334">
        <f>SUM(G237:G238)</f>
        <v>666000</v>
      </c>
    </row>
    <row r="237" spans="1:7" s="1157" customFormat="1" ht="38.25">
      <c r="A237" s="1154"/>
      <c r="B237" s="1148"/>
      <c r="C237" s="637">
        <v>6300</v>
      </c>
      <c r="D237" s="391" t="s">
        <v>30</v>
      </c>
      <c r="E237" s="628">
        <f>SUM(F237:G237)</f>
        <v>333000</v>
      </c>
      <c r="F237" s="621"/>
      <c r="G237" s="639">
        <v>333000</v>
      </c>
    </row>
    <row r="238" spans="1:7" s="1157" customFormat="1" ht="31.5" customHeight="1" thickBot="1">
      <c r="A238" s="1229"/>
      <c r="B238" s="1230"/>
      <c r="C238" s="640">
        <v>6330</v>
      </c>
      <c r="D238" s="353" t="s">
        <v>31</v>
      </c>
      <c r="E238" s="629">
        <f>SUM(F238:G238)</f>
        <v>333000</v>
      </c>
      <c r="F238" s="598"/>
      <c r="G238" s="319">
        <v>333000</v>
      </c>
    </row>
    <row r="239" spans="1:7" s="736" customFormat="1" ht="14.25" customHeight="1">
      <c r="A239" s="1231"/>
      <c r="B239" s="1232"/>
      <c r="C239" s="1233"/>
      <c r="D239" s="1234"/>
      <c r="E239" s="1235"/>
      <c r="F239" s="1236"/>
      <c r="G239" s="1237"/>
    </row>
    <row r="240" spans="1:7" s="647" customFormat="1" ht="19.5" customHeight="1" thickBot="1">
      <c r="A240" s="332"/>
      <c r="B240" s="379"/>
      <c r="C240" s="644"/>
      <c r="D240" s="645" t="s">
        <v>457</v>
      </c>
      <c r="E240" s="607">
        <f>E55+E60+E70+E86+E99+E109+E151+E162+E167+E172+E195+E201+E229+E234</f>
        <v>108597442</v>
      </c>
      <c r="F240" s="608">
        <f>F55+F60+F66+F70+F86+F99+F109+F151+F162+F167+F172+F195+F201+F229+F234</f>
        <v>93371076</v>
      </c>
      <c r="G240" s="646">
        <f>G55+G60+G66+G70+G86+G99+G109+G151+G162+G167+G172+G195+G201+G229+G234</f>
        <v>15226366</v>
      </c>
    </row>
    <row r="241" spans="1:7" s="1238" customFormat="1" ht="36" customHeight="1">
      <c r="A241" s="1327" t="s">
        <v>427</v>
      </c>
      <c r="B241" s="1327"/>
      <c r="C241" s="1327"/>
      <c r="D241" s="1327"/>
      <c r="E241" s="1327"/>
      <c r="F241" s="1327"/>
      <c r="G241" s="1327"/>
    </row>
    <row r="242" spans="1:7" s="736" customFormat="1" ht="14.25" customHeight="1">
      <c r="A242" s="1328" t="s">
        <v>425</v>
      </c>
      <c r="B242" s="1328"/>
      <c r="C242" s="1328"/>
      <c r="D242" s="1328"/>
      <c r="E242" s="1328"/>
      <c r="F242" s="1328"/>
      <c r="G242" s="1328"/>
    </row>
    <row r="243" spans="1:7" s="736" customFormat="1" ht="14.25" customHeight="1" thickBot="1">
      <c r="A243" s="1239"/>
      <c r="B243" s="1240"/>
      <c r="C243" s="1241"/>
      <c r="D243" s="1242"/>
      <c r="E243" s="1243"/>
      <c r="F243" s="1244"/>
      <c r="G243" s="315" t="s">
        <v>116</v>
      </c>
    </row>
    <row r="244" spans="1:7" s="648" customFormat="1" ht="14.25" customHeight="1">
      <c r="A244" s="1333" t="s">
        <v>440</v>
      </c>
      <c r="B244" s="1335" t="s">
        <v>458</v>
      </c>
      <c r="C244" s="1335" t="s">
        <v>477</v>
      </c>
      <c r="D244" s="1335" t="s">
        <v>459</v>
      </c>
      <c r="E244" s="1342" t="s">
        <v>421</v>
      </c>
      <c r="F244" s="1346" t="s">
        <v>78</v>
      </c>
      <c r="G244" s="1347"/>
    </row>
    <row r="245" spans="1:7" s="340" customFormat="1" ht="12.75">
      <c r="A245" s="1334"/>
      <c r="B245" s="1336"/>
      <c r="C245" s="1336"/>
      <c r="D245" s="1336"/>
      <c r="E245" s="1344"/>
      <c r="F245" s="564" t="s">
        <v>23</v>
      </c>
      <c r="G245" s="565" t="s">
        <v>24</v>
      </c>
    </row>
    <row r="246" spans="1:7" s="572" customFormat="1" ht="12" thickBot="1">
      <c r="A246" s="567">
        <v>1</v>
      </c>
      <c r="B246" s="617">
        <v>2</v>
      </c>
      <c r="C246" s="618">
        <v>3</v>
      </c>
      <c r="D246" s="617">
        <v>4</v>
      </c>
      <c r="E246" s="649">
        <v>5</v>
      </c>
      <c r="F246" s="569">
        <v>6</v>
      </c>
      <c r="G246" s="570">
        <v>7</v>
      </c>
    </row>
    <row r="247" spans="1:7" s="371" customFormat="1" ht="12.75" customHeight="1">
      <c r="A247" s="330"/>
      <c r="B247" s="335"/>
      <c r="C247" s="360"/>
      <c r="D247" s="335"/>
      <c r="E247" s="650"/>
      <c r="F247" s="651"/>
      <c r="G247" s="463"/>
    </row>
    <row r="248" spans="1:7" s="371" customFormat="1" ht="12.75" customHeight="1">
      <c r="A248" s="317">
        <v>750</v>
      </c>
      <c r="B248" s="328"/>
      <c r="C248" s="361"/>
      <c r="D248" s="345" t="s">
        <v>446</v>
      </c>
      <c r="E248" s="652">
        <f>SUM(E250)</f>
        <v>305000</v>
      </c>
      <c r="F248" s="583">
        <f>SUM(F250)</f>
        <v>305000</v>
      </c>
      <c r="G248" s="464">
        <f>SUM(G250)</f>
        <v>0</v>
      </c>
    </row>
    <row r="249" spans="1:7" s="371" customFormat="1" ht="12.75" customHeight="1">
      <c r="A249" s="317"/>
      <c r="B249" s="352"/>
      <c r="C249" s="653"/>
      <c r="D249" s="346"/>
      <c r="E249" s="584"/>
      <c r="F249" s="585"/>
      <c r="G249" s="463"/>
    </row>
    <row r="250" spans="1:7" s="371" customFormat="1" ht="12.75" customHeight="1">
      <c r="A250" s="317"/>
      <c r="B250" s="352">
        <v>75011</v>
      </c>
      <c r="C250" s="654"/>
      <c r="D250" s="345" t="s">
        <v>113</v>
      </c>
      <c r="E250" s="652">
        <f>SUM(E253)</f>
        <v>305000</v>
      </c>
      <c r="F250" s="583">
        <f>SUM(F253)</f>
        <v>305000</v>
      </c>
      <c r="G250" s="464">
        <f>SUM(G253)</f>
        <v>0</v>
      </c>
    </row>
    <row r="251" spans="1:7" s="371" customFormat="1" ht="12.75" customHeight="1">
      <c r="A251" s="317"/>
      <c r="B251" s="352"/>
      <c r="C251" s="653">
        <v>2010</v>
      </c>
      <c r="D251" s="346" t="s">
        <v>71</v>
      </c>
      <c r="E251" s="584"/>
      <c r="F251" s="585"/>
      <c r="G251" s="463"/>
    </row>
    <row r="252" spans="1:7" s="371" customFormat="1" ht="12.75" customHeight="1">
      <c r="A252" s="317"/>
      <c r="B252" s="352"/>
      <c r="C252" s="653"/>
      <c r="D252" s="346" t="s">
        <v>72</v>
      </c>
      <c r="E252" s="584"/>
      <c r="F252" s="585"/>
      <c r="G252" s="463"/>
    </row>
    <row r="253" spans="1:7" s="371" customFormat="1" ht="12.75" customHeight="1" thickBot="1">
      <c r="A253" s="331"/>
      <c r="B253" s="372"/>
      <c r="C253" s="655"/>
      <c r="D253" s="656" t="s">
        <v>73</v>
      </c>
      <c r="E253" s="657">
        <f>SUM(F253:G253)</f>
        <v>305000</v>
      </c>
      <c r="F253" s="632">
        <v>305000</v>
      </c>
      <c r="G253" s="633"/>
    </row>
    <row r="254" spans="1:7" s="371" customFormat="1" ht="12.75" customHeight="1" thickTop="1">
      <c r="A254" s="317"/>
      <c r="B254" s="352"/>
      <c r="C254" s="653"/>
      <c r="D254" s="346"/>
      <c r="E254" s="584"/>
      <c r="F254" s="585"/>
      <c r="G254" s="463"/>
    </row>
    <row r="255" spans="1:7" s="371" customFormat="1" ht="12.75" customHeight="1">
      <c r="A255" s="317">
        <v>751</v>
      </c>
      <c r="B255" s="327"/>
      <c r="C255" s="360"/>
      <c r="D255" s="346" t="s">
        <v>582</v>
      </c>
      <c r="E255" s="584"/>
      <c r="F255" s="585"/>
      <c r="G255" s="463"/>
    </row>
    <row r="256" spans="1:7" s="371" customFormat="1" ht="12.75" customHeight="1">
      <c r="A256" s="317"/>
      <c r="B256" s="328"/>
      <c r="C256" s="361"/>
      <c r="D256" s="345" t="s">
        <v>74</v>
      </c>
      <c r="E256" s="652">
        <f>SUM(E258)</f>
        <v>6780</v>
      </c>
      <c r="F256" s="583">
        <f>SUM(F258)</f>
        <v>6780</v>
      </c>
      <c r="G256" s="464">
        <f>SUM(G258)</f>
        <v>0</v>
      </c>
    </row>
    <row r="257" spans="1:7" s="371" customFormat="1" ht="12.75" customHeight="1">
      <c r="A257" s="317"/>
      <c r="B257" s="352"/>
      <c r="C257" s="653"/>
      <c r="D257" s="346"/>
      <c r="E257" s="584"/>
      <c r="F257" s="585"/>
      <c r="G257" s="463"/>
    </row>
    <row r="258" spans="1:7" s="371" customFormat="1" ht="12.75" customHeight="1">
      <c r="A258" s="317"/>
      <c r="B258" s="352">
        <v>75101</v>
      </c>
      <c r="C258" s="654"/>
      <c r="D258" s="345" t="s">
        <v>583</v>
      </c>
      <c r="E258" s="652">
        <f>SUM(E261)</f>
        <v>6780</v>
      </c>
      <c r="F258" s="583">
        <f>SUM(F261)</f>
        <v>6780</v>
      </c>
      <c r="G258" s="464">
        <f>SUM(G261)</f>
        <v>0</v>
      </c>
    </row>
    <row r="259" spans="1:7" s="371" customFormat="1" ht="12.75" customHeight="1">
      <c r="A259" s="317"/>
      <c r="B259" s="352"/>
      <c r="C259" s="653">
        <v>2010</v>
      </c>
      <c r="D259" s="346" t="s">
        <v>71</v>
      </c>
      <c r="E259" s="584"/>
      <c r="F259" s="585"/>
      <c r="G259" s="463"/>
    </row>
    <row r="260" spans="1:7" s="371" customFormat="1" ht="12.75" customHeight="1">
      <c r="A260" s="317"/>
      <c r="B260" s="352"/>
      <c r="C260" s="653"/>
      <c r="D260" s="346" t="s">
        <v>72</v>
      </c>
      <c r="E260" s="584"/>
      <c r="F260" s="585"/>
      <c r="G260" s="463"/>
    </row>
    <row r="261" spans="1:7" s="371" customFormat="1" ht="12.75" customHeight="1" thickBot="1">
      <c r="A261" s="331"/>
      <c r="B261" s="372"/>
      <c r="C261" s="655"/>
      <c r="D261" s="656" t="s">
        <v>73</v>
      </c>
      <c r="E261" s="808">
        <f>SUM(F261:G261)</f>
        <v>6780</v>
      </c>
      <c r="F261" s="632">
        <v>6780</v>
      </c>
      <c r="G261" s="633"/>
    </row>
    <row r="262" spans="1:7" s="1157" customFormat="1" ht="12.75" customHeight="1" thickTop="1">
      <c r="A262" s="1154"/>
      <c r="B262" s="1245"/>
      <c r="C262" s="1214"/>
      <c r="D262" s="1245"/>
      <c r="E262" s="1246"/>
      <c r="F262" s="1171"/>
      <c r="G262" s="1158"/>
    </row>
    <row r="263" spans="1:7" s="371" customFormat="1" ht="12.75" customHeight="1">
      <c r="A263" s="317">
        <v>851</v>
      </c>
      <c r="B263" s="345"/>
      <c r="C263" s="654"/>
      <c r="D263" s="345" t="s">
        <v>452</v>
      </c>
      <c r="E263" s="652">
        <f>SUM(E265,)</f>
        <v>2000</v>
      </c>
      <c r="F263" s="583">
        <f>SUM(F265,)</f>
        <v>2000</v>
      </c>
      <c r="G263" s="464">
        <f>SUM(G265,)</f>
        <v>0</v>
      </c>
    </row>
    <row r="264" spans="1:7" s="371" customFormat="1" ht="12.75" customHeight="1">
      <c r="A264" s="317"/>
      <c r="B264" s="346"/>
      <c r="C264" s="653"/>
      <c r="D264" s="346"/>
      <c r="E264" s="584"/>
      <c r="F264" s="585"/>
      <c r="G264" s="463"/>
    </row>
    <row r="265" spans="1:7" s="371" customFormat="1" ht="12.75" customHeight="1">
      <c r="A265" s="317"/>
      <c r="B265" s="352">
        <v>85195</v>
      </c>
      <c r="C265" s="654"/>
      <c r="D265" s="345" t="s">
        <v>467</v>
      </c>
      <c r="E265" s="652">
        <f>SUM(E268,)</f>
        <v>2000</v>
      </c>
      <c r="F265" s="583">
        <f>SUM(F268,)</f>
        <v>2000</v>
      </c>
      <c r="G265" s="464">
        <f>SUM(G268,)</f>
        <v>0</v>
      </c>
    </row>
    <row r="266" spans="1:7" s="371" customFormat="1" ht="12.75" customHeight="1">
      <c r="A266" s="317"/>
      <c r="B266" s="346"/>
      <c r="C266" s="653">
        <v>2010</v>
      </c>
      <c r="D266" s="346" t="s">
        <v>71</v>
      </c>
      <c r="E266" s="584"/>
      <c r="F266" s="585"/>
      <c r="G266" s="463"/>
    </row>
    <row r="267" spans="1:7" s="371" customFormat="1" ht="12.75" customHeight="1">
      <c r="A267" s="317"/>
      <c r="B267" s="346"/>
      <c r="C267" s="653"/>
      <c r="D267" s="346" t="s">
        <v>72</v>
      </c>
      <c r="E267" s="584"/>
      <c r="F267" s="585"/>
      <c r="G267" s="463"/>
    </row>
    <row r="268" spans="1:7" s="371" customFormat="1" ht="12.75" customHeight="1" thickBot="1">
      <c r="A268" s="331"/>
      <c r="B268" s="336"/>
      <c r="C268" s="362"/>
      <c r="D268" s="656" t="s">
        <v>73</v>
      </c>
      <c r="E268" s="657">
        <f>SUM(F268:G268)</f>
        <v>2000</v>
      </c>
      <c r="F268" s="632">
        <v>2000</v>
      </c>
      <c r="G268" s="633"/>
    </row>
    <row r="269" spans="1:7" s="1157" customFormat="1" ht="12.75" customHeight="1" thickTop="1">
      <c r="A269" s="1154"/>
      <c r="B269" s="1201"/>
      <c r="C269" s="1247"/>
      <c r="D269" s="1245"/>
      <c r="E269" s="1246"/>
      <c r="F269" s="1171"/>
      <c r="G269" s="1158"/>
    </row>
    <row r="270" spans="1:7" s="371" customFormat="1" ht="12.75" customHeight="1">
      <c r="A270" s="337">
        <v>852</v>
      </c>
      <c r="B270" s="328"/>
      <c r="C270" s="361"/>
      <c r="D270" s="345" t="s">
        <v>297</v>
      </c>
      <c r="E270" s="652">
        <f>E272+E277+E283+E288</f>
        <v>8260000</v>
      </c>
      <c r="F270" s="652">
        <f>F272+F277+F283+F288</f>
        <v>8260000</v>
      </c>
      <c r="G270" s="464">
        <f>G272+G277+G283+G288</f>
        <v>0</v>
      </c>
    </row>
    <row r="271" spans="1:7" s="1157" customFormat="1" ht="12.75" customHeight="1">
      <c r="A271" s="1248"/>
      <c r="B271" s="1148"/>
      <c r="C271" s="1214"/>
      <c r="D271" s="1245"/>
      <c r="E271" s="1246"/>
      <c r="F271" s="1171"/>
      <c r="G271" s="1158"/>
    </row>
    <row r="272" spans="1:7" s="371" customFormat="1" ht="12.75" customHeight="1">
      <c r="A272" s="337"/>
      <c r="B272" s="352">
        <v>85203</v>
      </c>
      <c r="C272" s="654"/>
      <c r="D272" s="345" t="s">
        <v>309</v>
      </c>
      <c r="E272" s="652">
        <f>SUM(E275)</f>
        <v>182000</v>
      </c>
      <c r="F272" s="583">
        <f>SUM(F275)</f>
        <v>182000</v>
      </c>
      <c r="G272" s="464">
        <f>SUM(G275)</f>
        <v>0</v>
      </c>
    </row>
    <row r="273" spans="1:7" s="371" customFormat="1" ht="12.75" customHeight="1">
      <c r="A273" s="337"/>
      <c r="B273" s="352"/>
      <c r="C273" s="653">
        <v>2010</v>
      </c>
      <c r="D273" s="346" t="s">
        <v>71</v>
      </c>
      <c r="E273" s="584"/>
      <c r="F273" s="585"/>
      <c r="G273" s="463"/>
    </row>
    <row r="274" spans="1:7" s="371" customFormat="1" ht="12.75" customHeight="1">
      <c r="A274" s="337"/>
      <c r="B274" s="352"/>
      <c r="C274" s="653"/>
      <c r="D274" s="346" t="s">
        <v>72</v>
      </c>
      <c r="E274" s="584"/>
      <c r="F274" s="585"/>
      <c r="G274" s="463"/>
    </row>
    <row r="275" spans="1:7" s="371" customFormat="1" ht="12.75" customHeight="1">
      <c r="A275" s="337"/>
      <c r="B275" s="329"/>
      <c r="C275" s="654"/>
      <c r="D275" s="345" t="s">
        <v>73</v>
      </c>
      <c r="E275" s="652">
        <f>SUM(F275:G275)</f>
        <v>182000</v>
      </c>
      <c r="F275" s="583">
        <v>182000</v>
      </c>
      <c r="G275" s="464"/>
    </row>
    <row r="276" spans="1:7" s="371" customFormat="1" ht="17.25" customHeight="1">
      <c r="A276" s="337"/>
      <c r="B276" s="352">
        <v>85212</v>
      </c>
      <c r="C276" s="653"/>
      <c r="D276" s="346" t="s">
        <v>577</v>
      </c>
      <c r="E276" s="584"/>
      <c r="F276" s="585"/>
      <c r="G276" s="463"/>
    </row>
    <row r="277" spans="1:7" s="371" customFormat="1" ht="12.75" customHeight="1">
      <c r="A277" s="337"/>
      <c r="B277" s="352"/>
      <c r="C277" s="658"/>
      <c r="D277" s="345" t="s">
        <v>10</v>
      </c>
      <c r="E277" s="652">
        <f>SUM(E280)</f>
        <v>7913000</v>
      </c>
      <c r="F277" s="583">
        <f>SUM(F280)</f>
        <v>7913000</v>
      </c>
      <c r="G277" s="464">
        <f>SUM(G280)</f>
        <v>0</v>
      </c>
    </row>
    <row r="278" spans="1:7" s="371" customFormat="1" ht="12.75" customHeight="1">
      <c r="A278" s="337"/>
      <c r="B278" s="352"/>
      <c r="C278" s="653">
        <v>2010</v>
      </c>
      <c r="D278" s="346" t="s">
        <v>71</v>
      </c>
      <c r="E278" s="584"/>
      <c r="F278" s="585"/>
      <c r="G278" s="463"/>
    </row>
    <row r="279" spans="1:7" s="371" customFormat="1" ht="12.75" customHeight="1">
      <c r="A279" s="337"/>
      <c r="B279" s="352"/>
      <c r="C279" s="653"/>
      <c r="D279" s="346" t="s">
        <v>72</v>
      </c>
      <c r="E279" s="584"/>
      <c r="F279" s="585"/>
      <c r="G279" s="463"/>
    </row>
    <row r="280" spans="1:7" s="371" customFormat="1" ht="12.75" customHeight="1">
      <c r="A280" s="1249"/>
      <c r="B280" s="329"/>
      <c r="C280" s="654"/>
      <c r="D280" s="345" t="s">
        <v>73</v>
      </c>
      <c r="E280" s="652">
        <f>SUM(F280:G280)</f>
        <v>7913000</v>
      </c>
      <c r="F280" s="583">
        <v>7913000</v>
      </c>
      <c r="G280" s="464"/>
    </row>
    <row r="281" spans="1:7" s="371" customFormat="1" ht="12.75" customHeight="1">
      <c r="A281" s="337"/>
      <c r="B281" s="352">
        <v>85213</v>
      </c>
      <c r="C281" s="653"/>
      <c r="D281" s="661" t="s">
        <v>584</v>
      </c>
      <c r="E281" s="584"/>
      <c r="F281" s="585"/>
      <c r="G281" s="463"/>
    </row>
    <row r="282" spans="1:7" s="371" customFormat="1" ht="12.75" customHeight="1">
      <c r="A282" s="317"/>
      <c r="B282" s="352"/>
      <c r="C282" s="376"/>
      <c r="D282" s="661" t="s">
        <v>581</v>
      </c>
      <c r="E282" s="661"/>
      <c r="F282" s="585"/>
      <c r="G282" s="463"/>
    </row>
    <row r="283" spans="1:7" s="371" customFormat="1" ht="12.75" customHeight="1">
      <c r="A283" s="317"/>
      <c r="B283" s="352"/>
      <c r="C283" s="654"/>
      <c r="D283" s="345" t="s">
        <v>328</v>
      </c>
      <c r="E283" s="652">
        <f>SUM(E286)</f>
        <v>27000</v>
      </c>
      <c r="F283" s="583">
        <f>SUM(F286)</f>
        <v>27000</v>
      </c>
      <c r="G283" s="464">
        <f>SUM(G286)</f>
        <v>0</v>
      </c>
    </row>
    <row r="284" spans="1:7" s="371" customFormat="1" ht="12.75" customHeight="1">
      <c r="A284" s="317"/>
      <c r="B284" s="352"/>
      <c r="C284" s="653">
        <v>2010</v>
      </c>
      <c r="D284" s="346" t="s">
        <v>71</v>
      </c>
      <c r="E284" s="584"/>
      <c r="F284" s="585"/>
      <c r="G284" s="463"/>
    </row>
    <row r="285" spans="1:7" s="371" customFormat="1" ht="12.75" customHeight="1">
      <c r="A285" s="317"/>
      <c r="B285" s="352"/>
      <c r="C285" s="653"/>
      <c r="D285" s="346" t="s">
        <v>72</v>
      </c>
      <c r="E285" s="584"/>
      <c r="F285" s="585"/>
      <c r="G285" s="463"/>
    </row>
    <row r="286" spans="1:7" s="371" customFormat="1" ht="12.75" customHeight="1">
      <c r="A286" s="317"/>
      <c r="B286" s="329"/>
      <c r="C286" s="654"/>
      <c r="D286" s="345" t="s">
        <v>73</v>
      </c>
      <c r="E286" s="652">
        <f>SUM(F286:G286)</f>
        <v>27000</v>
      </c>
      <c r="F286" s="583">
        <v>27000</v>
      </c>
      <c r="G286" s="464"/>
    </row>
    <row r="287" spans="1:7" s="371" customFormat="1" ht="12.75" customHeight="1">
      <c r="A287" s="317"/>
      <c r="B287" s="352"/>
      <c r="C287" s="662"/>
      <c r="D287" s="586"/>
      <c r="E287" s="590"/>
      <c r="F287" s="585"/>
      <c r="G287" s="463"/>
    </row>
    <row r="288" spans="1:7" s="371" customFormat="1" ht="12.75" customHeight="1">
      <c r="A288" s="317"/>
      <c r="B288" s="352">
        <v>85228</v>
      </c>
      <c r="C288" s="654"/>
      <c r="D288" s="345" t="s">
        <v>302</v>
      </c>
      <c r="E288" s="652">
        <f>SUM(E291)</f>
        <v>138000</v>
      </c>
      <c r="F288" s="583">
        <f>SUM(F291)</f>
        <v>138000</v>
      </c>
      <c r="G288" s="464">
        <f>SUM(G291)</f>
        <v>0</v>
      </c>
    </row>
    <row r="289" spans="1:7" s="371" customFormat="1" ht="12.75" customHeight="1">
      <c r="A289" s="317"/>
      <c r="B289" s="352"/>
      <c r="C289" s="653">
        <v>2010</v>
      </c>
      <c r="D289" s="346" t="s">
        <v>71</v>
      </c>
      <c r="E289" s="369"/>
      <c r="F289" s="585"/>
      <c r="G289" s="463"/>
    </row>
    <row r="290" spans="1:7" s="371" customFormat="1" ht="12.75" customHeight="1">
      <c r="A290" s="317"/>
      <c r="B290" s="352"/>
      <c r="C290" s="653"/>
      <c r="D290" s="346" t="s">
        <v>72</v>
      </c>
      <c r="E290" s="369"/>
      <c r="F290" s="585"/>
      <c r="G290" s="463"/>
    </row>
    <row r="291" spans="1:7" s="371" customFormat="1" ht="12.75" customHeight="1" thickBot="1">
      <c r="A291" s="318"/>
      <c r="B291" s="379"/>
      <c r="C291" s="659"/>
      <c r="D291" s="660" t="s">
        <v>73</v>
      </c>
      <c r="E291" s="663">
        <f>SUM(F291:G291)</f>
        <v>138000</v>
      </c>
      <c r="F291" s="598">
        <v>138000</v>
      </c>
      <c r="G291" s="599"/>
    </row>
    <row r="292" spans="1:7" ht="10.5" customHeight="1">
      <c r="A292" s="641"/>
      <c r="B292" s="664"/>
      <c r="C292" s="665"/>
      <c r="D292" s="666"/>
      <c r="E292" s="667"/>
      <c r="F292" s="642"/>
      <c r="G292" s="643"/>
    </row>
    <row r="293" spans="1:7" s="647" customFormat="1" ht="26.25" customHeight="1" thickBot="1">
      <c r="A293" s="332"/>
      <c r="B293" s="668"/>
      <c r="C293" s="669"/>
      <c r="D293" s="670" t="s">
        <v>457</v>
      </c>
      <c r="E293" s="607">
        <f>E248+E256+E263+E270</f>
        <v>8573780</v>
      </c>
      <c r="F293" s="608">
        <f>F248+F256+F263+F270</f>
        <v>8573780</v>
      </c>
      <c r="G293" s="646">
        <f>G248+G256+G263+G270</f>
        <v>0</v>
      </c>
    </row>
    <row r="294" spans="1:7" s="736" customFormat="1" ht="37.5" customHeight="1">
      <c r="A294" s="1327" t="s">
        <v>66</v>
      </c>
      <c r="B294" s="1327"/>
      <c r="C294" s="1327"/>
      <c r="D294" s="1327"/>
      <c r="E294" s="1327"/>
      <c r="F294" s="1327"/>
      <c r="G294" s="1327"/>
    </row>
    <row r="295" spans="1:7" s="736" customFormat="1" ht="14.25" customHeight="1">
      <c r="A295" s="1328" t="s">
        <v>425</v>
      </c>
      <c r="B295" s="1328"/>
      <c r="C295" s="1328"/>
      <c r="D295" s="1328"/>
      <c r="E295" s="1328"/>
      <c r="F295" s="1328"/>
      <c r="G295" s="1328"/>
    </row>
    <row r="296" spans="1:7" s="736" customFormat="1" ht="14.25" customHeight="1" thickBot="1">
      <c r="A296" s="1250"/>
      <c r="B296" s="1251"/>
      <c r="C296" s="1252"/>
      <c r="D296" s="1251"/>
      <c r="E296" s="1137"/>
      <c r="F296" s="1244"/>
      <c r="G296" s="315" t="s">
        <v>116</v>
      </c>
    </row>
    <row r="297" spans="1:7" s="648" customFormat="1" ht="14.25" customHeight="1">
      <c r="A297" s="1333" t="s">
        <v>440</v>
      </c>
      <c r="B297" s="1335" t="s">
        <v>458</v>
      </c>
      <c r="C297" s="1335" t="s">
        <v>477</v>
      </c>
      <c r="D297" s="1335" t="s">
        <v>459</v>
      </c>
      <c r="E297" s="1337" t="s">
        <v>421</v>
      </c>
      <c r="F297" s="1346" t="s">
        <v>78</v>
      </c>
      <c r="G297" s="1347"/>
    </row>
    <row r="298" spans="1:7" s="340" customFormat="1" ht="12.75">
      <c r="A298" s="1334"/>
      <c r="B298" s="1336"/>
      <c r="C298" s="1336"/>
      <c r="D298" s="1336"/>
      <c r="E298" s="1338"/>
      <c r="F298" s="564" t="s">
        <v>23</v>
      </c>
      <c r="G298" s="565" t="s">
        <v>24</v>
      </c>
    </row>
    <row r="299" spans="1:7" ht="14.25" customHeight="1" thickBot="1">
      <c r="A299" s="567">
        <v>1</v>
      </c>
      <c r="B299" s="617">
        <v>2</v>
      </c>
      <c r="C299" s="618">
        <v>3</v>
      </c>
      <c r="D299" s="617">
        <v>4</v>
      </c>
      <c r="E299" s="568">
        <v>5</v>
      </c>
      <c r="F299" s="569">
        <v>6</v>
      </c>
      <c r="G299" s="619">
        <v>7</v>
      </c>
    </row>
    <row r="300" spans="1:7" s="736" customFormat="1" ht="14.25" customHeight="1">
      <c r="A300" s="1253"/>
      <c r="B300" s="1254"/>
      <c r="C300" s="1255"/>
      <c r="D300" s="1254"/>
      <c r="E300" s="1256"/>
      <c r="F300" s="1257"/>
      <c r="G300" s="1258"/>
    </row>
    <row r="301" spans="1:7" ht="14.25" customHeight="1">
      <c r="A301" s="317">
        <v>600</v>
      </c>
      <c r="B301" s="345"/>
      <c r="C301" s="671"/>
      <c r="D301" s="345" t="s">
        <v>441</v>
      </c>
      <c r="E301" s="672">
        <f>E303+E306</f>
        <v>300000</v>
      </c>
      <c r="F301" s="583">
        <f>F303+F306</f>
        <v>300000</v>
      </c>
      <c r="G301" s="326">
        <f>G303+G306</f>
        <v>0</v>
      </c>
    </row>
    <row r="302" spans="1:7" s="736" customFormat="1" ht="14.25" customHeight="1" hidden="1">
      <c r="A302" s="1154"/>
      <c r="B302" s="1245"/>
      <c r="C302" s="1259"/>
      <c r="D302" s="1245"/>
      <c r="E302" s="1195"/>
      <c r="F302" s="1245"/>
      <c r="G302" s="1260"/>
    </row>
    <row r="303" spans="1:7" s="736" customFormat="1" ht="14.25" customHeight="1" hidden="1">
      <c r="A303" s="1154"/>
      <c r="B303" s="352">
        <v>60013</v>
      </c>
      <c r="C303" s="671"/>
      <c r="D303" s="345" t="s">
        <v>22</v>
      </c>
      <c r="E303" s="672">
        <f>F303+G303</f>
        <v>0</v>
      </c>
      <c r="F303" s="583">
        <f>F304</f>
        <v>0</v>
      </c>
      <c r="G303" s="326">
        <f>G304</f>
        <v>0</v>
      </c>
    </row>
    <row r="304" spans="1:7" s="737" customFormat="1" ht="26.25" hidden="1" thickBot="1">
      <c r="A304" s="1261"/>
      <c r="B304" s="787"/>
      <c r="C304" s="783">
        <v>6298</v>
      </c>
      <c r="D304" s="794" t="s">
        <v>135</v>
      </c>
      <c r="E304" s="809">
        <f>F304+G304</f>
        <v>0</v>
      </c>
      <c r="F304" s="596"/>
      <c r="G304" s="810"/>
    </row>
    <row r="305" spans="1:7" s="737" customFormat="1" ht="14.25" customHeight="1">
      <c r="A305" s="1180"/>
      <c r="B305" s="1262"/>
      <c r="C305" s="1263"/>
      <c r="D305" s="1262"/>
      <c r="E305" s="1264"/>
      <c r="F305" s="1262"/>
      <c r="G305" s="1265"/>
    </row>
    <row r="306" spans="1:7" s="340" customFormat="1" ht="14.25" customHeight="1">
      <c r="A306" s="343"/>
      <c r="B306" s="733">
        <v>60014</v>
      </c>
      <c r="C306" s="811"/>
      <c r="D306" s="812" t="s">
        <v>77</v>
      </c>
      <c r="E306" s="809">
        <f>SUM(E307:E307)</f>
        <v>300000</v>
      </c>
      <c r="F306" s="596">
        <f>SUM(F307:F307)</f>
        <v>300000</v>
      </c>
      <c r="G306" s="810">
        <f>SUM(G307:G307)</f>
        <v>0</v>
      </c>
    </row>
    <row r="307" spans="1:7" s="737" customFormat="1" ht="32.25" customHeight="1" thickBot="1">
      <c r="A307" s="1266"/>
      <c r="B307" s="1267"/>
      <c r="C307" s="806">
        <v>2320</v>
      </c>
      <c r="D307" s="1268" t="s">
        <v>390</v>
      </c>
      <c r="E307" s="1269">
        <f>SUM(F307:G307)</f>
        <v>300000</v>
      </c>
      <c r="F307" s="795">
        <v>300000</v>
      </c>
      <c r="G307" s="807">
        <v>0</v>
      </c>
    </row>
    <row r="308" spans="1:7" ht="13.5" thickTop="1">
      <c r="A308" s="1349">
        <v>853</v>
      </c>
      <c r="B308" s="352"/>
      <c r="C308" s="376"/>
      <c r="D308" s="392"/>
      <c r="E308" s="369"/>
      <c r="F308" s="585"/>
      <c r="G308" s="323"/>
    </row>
    <row r="309" spans="1:7" ht="12.75">
      <c r="A309" s="1349"/>
      <c r="B309" s="329"/>
      <c r="C309" s="375"/>
      <c r="D309" s="390" t="s">
        <v>61</v>
      </c>
      <c r="E309" s="672">
        <f>F309+G309</f>
        <v>10000</v>
      </c>
      <c r="F309" s="583">
        <f>F311</f>
        <v>10000</v>
      </c>
      <c r="G309" s="326">
        <f>G311</f>
        <v>0</v>
      </c>
    </row>
    <row r="310" spans="1:7" ht="12.75">
      <c r="A310" s="317"/>
      <c r="B310" s="352"/>
      <c r="C310" s="780"/>
      <c r="D310" s="394"/>
      <c r="E310" s="813"/>
      <c r="F310" s="591"/>
      <c r="G310" s="814"/>
    </row>
    <row r="311" spans="1:7" ht="14.25" customHeight="1">
      <c r="A311" s="317"/>
      <c r="B311" s="352">
        <v>85395</v>
      </c>
      <c r="C311" s="671"/>
      <c r="D311" s="390" t="s">
        <v>467</v>
      </c>
      <c r="E311" s="672">
        <f>SUM(E312:E312)</f>
        <v>10000</v>
      </c>
      <c r="F311" s="583">
        <f>SUM(F312:F312)</f>
        <v>10000</v>
      </c>
      <c r="G311" s="326">
        <f>SUM(G312:G312)</f>
        <v>0</v>
      </c>
    </row>
    <row r="312" spans="1:7" ht="30.75" customHeight="1" thickBot="1">
      <c r="A312" s="317"/>
      <c r="B312" s="352"/>
      <c r="C312" s="376">
        <v>2320</v>
      </c>
      <c r="D312" s="673" t="s">
        <v>390</v>
      </c>
      <c r="E312" s="369">
        <f>SUM(F312:G312)</f>
        <v>10000</v>
      </c>
      <c r="F312" s="585">
        <v>10000</v>
      </c>
      <c r="G312" s="323"/>
    </row>
    <row r="313" spans="1:7" ht="14.25" customHeight="1">
      <c r="A313" s="675"/>
      <c r="B313" s="666"/>
      <c r="C313" s="665"/>
      <c r="D313" s="666"/>
      <c r="E313" s="676"/>
      <c r="F313" s="815"/>
      <c r="G313" s="643"/>
    </row>
    <row r="314" spans="1:7" ht="19.5" customHeight="1" thickBot="1">
      <c r="A314" s="677"/>
      <c r="B314" s="678"/>
      <c r="C314" s="679"/>
      <c r="D314" s="670" t="s">
        <v>457</v>
      </c>
      <c r="E314" s="607">
        <f>E301+E311</f>
        <v>310000</v>
      </c>
      <c r="F314" s="608">
        <f>F301+F311</f>
        <v>310000</v>
      </c>
      <c r="G314" s="646">
        <f>SUM(G301)</f>
        <v>0</v>
      </c>
    </row>
    <row r="315" spans="3:6" s="736" customFormat="1" ht="12">
      <c r="C315" s="1252"/>
      <c r="E315" s="1135"/>
      <c r="F315" s="1135"/>
    </row>
    <row r="316" spans="3:6" s="736" customFormat="1" ht="12">
      <c r="C316" s="1252"/>
      <c r="E316" s="1135"/>
      <c r="F316" s="1135"/>
    </row>
    <row r="317" spans="1:9" s="736" customFormat="1" ht="15">
      <c r="A317" s="1350" t="s">
        <v>585</v>
      </c>
      <c r="B317" s="1350"/>
      <c r="C317" s="1350"/>
      <c r="D317" s="1350"/>
      <c r="E317" s="1350"/>
      <c r="F317" s="1350"/>
      <c r="G317" s="1350"/>
      <c r="H317" s="1350"/>
      <c r="I317" s="1350"/>
    </row>
    <row r="318" spans="1:9" s="736" customFormat="1" ht="15">
      <c r="A318" s="1350" t="s">
        <v>586</v>
      </c>
      <c r="B318" s="1350"/>
      <c r="C318" s="1350"/>
      <c r="D318" s="1350"/>
      <c r="E318" s="1350"/>
      <c r="F318" s="1350"/>
      <c r="G318" s="1350"/>
      <c r="H318" s="1350"/>
      <c r="I318" s="1350"/>
    </row>
    <row r="319" spans="1:7" s="736" customFormat="1" ht="14.25" customHeight="1">
      <c r="A319" s="1328" t="s">
        <v>425</v>
      </c>
      <c r="B319" s="1328"/>
      <c r="C319" s="1328"/>
      <c r="D319" s="1328"/>
      <c r="E319" s="1328"/>
      <c r="F319" s="1328"/>
      <c r="G319" s="1328"/>
    </row>
    <row r="320" spans="1:7" s="736" customFormat="1" ht="14.25" customHeight="1" thickBot="1">
      <c r="A320" s="1250"/>
      <c r="B320" s="1251"/>
      <c r="C320" s="1252"/>
      <c r="D320" s="1251"/>
      <c r="E320" s="1137"/>
      <c r="F320" s="1244"/>
      <c r="G320" s="315" t="s">
        <v>116</v>
      </c>
    </row>
    <row r="321" spans="1:7" s="648" customFormat="1" ht="14.25" customHeight="1">
      <c r="A321" s="1333" t="s">
        <v>440</v>
      </c>
      <c r="B321" s="1335" t="s">
        <v>458</v>
      </c>
      <c r="C321" s="1335" t="s">
        <v>477</v>
      </c>
      <c r="D321" s="1335" t="s">
        <v>459</v>
      </c>
      <c r="E321" s="1337" t="s">
        <v>421</v>
      </c>
      <c r="F321" s="1346" t="s">
        <v>78</v>
      </c>
      <c r="G321" s="1347"/>
    </row>
    <row r="322" spans="1:7" s="340" customFormat="1" ht="12.75">
      <c r="A322" s="1334"/>
      <c r="B322" s="1336"/>
      <c r="C322" s="1336"/>
      <c r="D322" s="1336"/>
      <c r="E322" s="1338"/>
      <c r="F322" s="564" t="s">
        <v>23</v>
      </c>
      <c r="G322" s="565" t="s">
        <v>24</v>
      </c>
    </row>
    <row r="323" spans="1:7" ht="14.25" customHeight="1" thickBot="1">
      <c r="A323" s="567">
        <v>1</v>
      </c>
      <c r="B323" s="617">
        <v>2</v>
      </c>
      <c r="C323" s="618">
        <v>3</v>
      </c>
      <c r="D323" s="617">
        <v>4</v>
      </c>
      <c r="E323" s="568">
        <v>5</v>
      </c>
      <c r="F323" s="569">
        <v>6</v>
      </c>
      <c r="G323" s="619">
        <v>7</v>
      </c>
    </row>
    <row r="324" spans="1:7" ht="12.75">
      <c r="A324" s="1349">
        <v>853</v>
      </c>
      <c r="B324" s="352"/>
      <c r="C324" s="376"/>
      <c r="D324" s="392"/>
      <c r="E324" s="369"/>
      <c r="F324" s="585"/>
      <c r="G324" s="323"/>
    </row>
    <row r="325" spans="1:7" ht="12.75">
      <c r="A325" s="1349"/>
      <c r="B325" s="329"/>
      <c r="C325" s="375"/>
      <c r="D325" s="390" t="s">
        <v>61</v>
      </c>
      <c r="E325" s="672">
        <f>F325+G325</f>
        <v>1126752</v>
      </c>
      <c r="F325" s="583">
        <f>F327</f>
        <v>1126752</v>
      </c>
      <c r="G325" s="326">
        <f>G327</f>
        <v>0</v>
      </c>
    </row>
    <row r="326" spans="1:7" ht="12.75">
      <c r="A326" s="317"/>
      <c r="B326" s="352"/>
      <c r="C326" s="780"/>
      <c r="D326" s="394"/>
      <c r="E326" s="813"/>
      <c r="F326" s="591"/>
      <c r="G326" s="814"/>
    </row>
    <row r="327" spans="1:7" ht="14.25" customHeight="1">
      <c r="A327" s="317"/>
      <c r="B327" s="352">
        <v>85395</v>
      </c>
      <c r="C327" s="671"/>
      <c r="D327" s="390" t="s">
        <v>467</v>
      </c>
      <c r="E327" s="672">
        <f>SUM(E328:E329)</f>
        <v>1126752</v>
      </c>
      <c r="F327" s="583">
        <f>SUM(F328:F329)</f>
        <v>1126752</v>
      </c>
      <c r="G327" s="326">
        <f>SUM(G329:G329)</f>
        <v>0</v>
      </c>
    </row>
    <row r="328" spans="1:7" s="1157" customFormat="1" ht="39" customHeight="1">
      <c r="A328" s="1154"/>
      <c r="B328" s="1148"/>
      <c r="C328" s="800">
        <v>2708</v>
      </c>
      <c r="D328" s="391" t="s">
        <v>344</v>
      </c>
      <c r="E328" s="801">
        <f>F328+G328</f>
        <v>1064105</v>
      </c>
      <c r="F328" s="621">
        <v>1064105</v>
      </c>
      <c r="G328" s="622"/>
    </row>
    <row r="329" spans="1:7" s="1157" customFormat="1" ht="39" thickBot="1">
      <c r="A329" s="1229"/>
      <c r="B329" s="1230"/>
      <c r="C329" s="1314">
        <v>2709</v>
      </c>
      <c r="D329" s="1315" t="s">
        <v>344</v>
      </c>
      <c r="E329" s="1316">
        <f>F329+G329</f>
        <v>62647</v>
      </c>
      <c r="F329" s="598">
        <v>62647</v>
      </c>
      <c r="G329" s="599"/>
    </row>
    <row r="330" spans="1:7" ht="14.25" customHeight="1">
      <c r="A330" s="1309"/>
      <c r="B330" s="1310"/>
      <c r="C330" s="1311"/>
      <c r="D330" s="1310"/>
      <c r="E330" s="1312"/>
      <c r="F330" s="588"/>
      <c r="G330" s="1313"/>
    </row>
    <row r="331" spans="1:7" ht="24.75" customHeight="1" thickBot="1">
      <c r="A331" s="677"/>
      <c r="B331" s="678"/>
      <c r="C331" s="679"/>
      <c r="D331" s="670" t="s">
        <v>457</v>
      </c>
      <c r="E331" s="607">
        <f>E325</f>
        <v>1126752</v>
      </c>
      <c r="F331" s="608">
        <f>F325</f>
        <v>1126752</v>
      </c>
      <c r="G331" s="646">
        <f>G325</f>
        <v>0</v>
      </c>
    </row>
    <row r="332" spans="3:6" s="736" customFormat="1" ht="12">
      <c r="C332" s="1252"/>
      <c r="E332" s="1135"/>
      <c r="F332" s="1135"/>
    </row>
    <row r="333" spans="3:6" s="736" customFormat="1" ht="12">
      <c r="C333" s="1252"/>
      <c r="E333" s="1135"/>
      <c r="F333" s="1135"/>
    </row>
    <row r="334" spans="3:6" s="736" customFormat="1" ht="12">
      <c r="C334" s="1252"/>
      <c r="E334" s="1135"/>
      <c r="F334" s="1135"/>
    </row>
    <row r="335" spans="3:6" s="736" customFormat="1" ht="12">
      <c r="C335" s="1252"/>
      <c r="E335" s="1135"/>
      <c r="F335" s="1135"/>
    </row>
    <row r="336" spans="3:6" s="736" customFormat="1" ht="12">
      <c r="C336" s="1252"/>
      <c r="E336" s="1135"/>
      <c r="F336" s="1135"/>
    </row>
    <row r="337" spans="3:6" s="736" customFormat="1" ht="12">
      <c r="C337" s="1252"/>
      <c r="E337" s="1135"/>
      <c r="F337" s="1135"/>
    </row>
    <row r="338" spans="3:6" s="736" customFormat="1" ht="12">
      <c r="C338" s="1252"/>
      <c r="E338" s="1135"/>
      <c r="F338" s="1135"/>
    </row>
    <row r="339" spans="3:6" s="736" customFormat="1" ht="12">
      <c r="C339" s="1252"/>
      <c r="E339" s="1135"/>
      <c r="F339" s="1135"/>
    </row>
    <row r="340" spans="3:6" s="736" customFormat="1" ht="12">
      <c r="C340" s="1252"/>
      <c r="E340" s="1135"/>
      <c r="F340" s="1135"/>
    </row>
    <row r="341" spans="3:6" s="736" customFormat="1" ht="12">
      <c r="C341" s="1252"/>
      <c r="E341" s="1135"/>
      <c r="F341" s="1135"/>
    </row>
    <row r="342" spans="3:6" s="736" customFormat="1" ht="12">
      <c r="C342" s="1252"/>
      <c r="E342" s="1135"/>
      <c r="F342" s="1135"/>
    </row>
    <row r="343" spans="3:6" s="736" customFormat="1" ht="12">
      <c r="C343" s="1252"/>
      <c r="E343" s="1135"/>
      <c r="F343" s="1135"/>
    </row>
    <row r="344" spans="3:6" s="736" customFormat="1" ht="12">
      <c r="C344" s="1252"/>
      <c r="E344" s="1135"/>
      <c r="F344" s="1135"/>
    </row>
    <row r="345" spans="3:6" s="736" customFormat="1" ht="12">
      <c r="C345" s="1252"/>
      <c r="E345" s="1135"/>
      <c r="F345" s="1135"/>
    </row>
    <row r="346" spans="3:6" s="736" customFormat="1" ht="12">
      <c r="C346" s="1252"/>
      <c r="E346" s="1135"/>
      <c r="F346" s="1135"/>
    </row>
    <row r="347" spans="3:6" s="736" customFormat="1" ht="12">
      <c r="C347" s="1252"/>
      <c r="E347" s="1135"/>
      <c r="F347" s="1135"/>
    </row>
    <row r="348" spans="3:6" s="736" customFormat="1" ht="12">
      <c r="C348" s="1252"/>
      <c r="E348" s="1135"/>
      <c r="F348" s="1135"/>
    </row>
    <row r="349" spans="3:6" s="736" customFormat="1" ht="12">
      <c r="C349" s="1252"/>
      <c r="E349" s="1135"/>
      <c r="F349" s="1135"/>
    </row>
    <row r="350" spans="3:6" s="736" customFormat="1" ht="12">
      <c r="C350" s="1252"/>
      <c r="E350" s="1135"/>
      <c r="F350" s="1135"/>
    </row>
    <row r="351" spans="3:6" s="736" customFormat="1" ht="12">
      <c r="C351" s="1252"/>
      <c r="E351" s="1135"/>
      <c r="F351" s="1135"/>
    </row>
    <row r="352" spans="3:6" s="736" customFormat="1" ht="12">
      <c r="C352" s="1252"/>
      <c r="E352" s="1135"/>
      <c r="F352" s="1135"/>
    </row>
    <row r="353" spans="3:6" s="736" customFormat="1" ht="12">
      <c r="C353" s="1252"/>
      <c r="E353" s="1135"/>
      <c r="F353" s="1135"/>
    </row>
    <row r="354" spans="3:6" s="736" customFormat="1" ht="12">
      <c r="C354" s="1252"/>
      <c r="E354" s="1135"/>
      <c r="F354" s="1135"/>
    </row>
    <row r="355" spans="3:6" s="736" customFormat="1" ht="12">
      <c r="C355" s="1252"/>
      <c r="E355" s="1135"/>
      <c r="F355" s="1135"/>
    </row>
    <row r="356" spans="3:6" s="736" customFormat="1" ht="12">
      <c r="C356" s="1252"/>
      <c r="E356" s="1135"/>
      <c r="F356" s="1135"/>
    </row>
    <row r="357" spans="3:6" s="736" customFormat="1" ht="12">
      <c r="C357" s="1252"/>
      <c r="E357" s="1135"/>
      <c r="F357" s="1135"/>
    </row>
    <row r="358" spans="3:6" s="736" customFormat="1" ht="12">
      <c r="C358" s="1252"/>
      <c r="E358" s="1135"/>
      <c r="F358" s="1135"/>
    </row>
    <row r="359" spans="3:6" s="736" customFormat="1" ht="12">
      <c r="C359" s="1252"/>
      <c r="E359" s="1135"/>
      <c r="F359" s="1135"/>
    </row>
    <row r="360" spans="3:6" s="736" customFormat="1" ht="12">
      <c r="C360" s="1252"/>
      <c r="E360" s="1135"/>
      <c r="F360" s="1135"/>
    </row>
    <row r="361" spans="3:6" s="736" customFormat="1" ht="12">
      <c r="C361" s="1252"/>
      <c r="E361" s="1135"/>
      <c r="F361" s="1135"/>
    </row>
    <row r="362" spans="3:6" s="736" customFormat="1" ht="12">
      <c r="C362" s="1252"/>
      <c r="E362" s="1135"/>
      <c r="F362" s="1135"/>
    </row>
    <row r="363" spans="3:6" s="736" customFormat="1" ht="12">
      <c r="C363" s="1252"/>
      <c r="E363" s="1135"/>
      <c r="F363" s="1135"/>
    </row>
    <row r="364" spans="3:6" s="736" customFormat="1" ht="12">
      <c r="C364" s="1252"/>
      <c r="E364" s="1135"/>
      <c r="F364" s="1135"/>
    </row>
    <row r="365" spans="3:6" s="736" customFormat="1" ht="12">
      <c r="C365" s="1252"/>
      <c r="E365" s="1135"/>
      <c r="F365" s="1135"/>
    </row>
    <row r="366" spans="3:6" s="736" customFormat="1" ht="12">
      <c r="C366" s="1252"/>
      <c r="E366" s="1135"/>
      <c r="F366" s="1135"/>
    </row>
    <row r="367" spans="3:6" s="736" customFormat="1" ht="12">
      <c r="C367" s="1252"/>
      <c r="E367" s="1135"/>
      <c r="F367" s="1135"/>
    </row>
    <row r="368" spans="3:6" s="736" customFormat="1" ht="12">
      <c r="C368" s="1252"/>
      <c r="E368" s="1135"/>
      <c r="F368" s="1135"/>
    </row>
    <row r="369" spans="3:6" s="736" customFormat="1" ht="12">
      <c r="C369" s="1252"/>
      <c r="E369" s="1135"/>
      <c r="F369" s="1135"/>
    </row>
    <row r="370" spans="3:6" s="736" customFormat="1" ht="12">
      <c r="C370" s="1252"/>
      <c r="E370" s="1135"/>
      <c r="F370" s="1135"/>
    </row>
    <row r="371" spans="3:6" s="736" customFormat="1" ht="12">
      <c r="C371" s="1252"/>
      <c r="E371" s="1135"/>
      <c r="F371" s="1135"/>
    </row>
    <row r="372" spans="3:6" s="736" customFormat="1" ht="12">
      <c r="C372" s="1252"/>
      <c r="E372" s="1135"/>
      <c r="F372" s="1135"/>
    </row>
    <row r="373" spans="3:6" s="736" customFormat="1" ht="12">
      <c r="C373" s="1252"/>
      <c r="E373" s="1135"/>
      <c r="F373" s="1135"/>
    </row>
    <row r="374" spans="3:6" s="736" customFormat="1" ht="12">
      <c r="C374" s="1252"/>
      <c r="E374" s="1135"/>
      <c r="F374" s="1135"/>
    </row>
    <row r="375" spans="3:6" s="736" customFormat="1" ht="12">
      <c r="C375" s="1252"/>
      <c r="E375" s="1135"/>
      <c r="F375" s="1135"/>
    </row>
    <row r="376" spans="3:6" s="736" customFormat="1" ht="12">
      <c r="C376" s="1252"/>
      <c r="E376" s="1135"/>
      <c r="F376" s="1135"/>
    </row>
    <row r="377" spans="3:6" s="736" customFormat="1" ht="12">
      <c r="C377" s="1252"/>
      <c r="E377" s="1135"/>
      <c r="F377" s="1135"/>
    </row>
    <row r="378" spans="3:6" s="736" customFormat="1" ht="12">
      <c r="C378" s="1252"/>
      <c r="E378" s="1135"/>
      <c r="F378" s="1135"/>
    </row>
    <row r="379" spans="3:6" s="736" customFormat="1" ht="12">
      <c r="C379" s="1252"/>
      <c r="E379" s="1135"/>
      <c r="F379" s="1135"/>
    </row>
    <row r="380" spans="3:6" s="736" customFormat="1" ht="12">
      <c r="C380" s="1252"/>
      <c r="E380" s="1135"/>
      <c r="F380" s="1135"/>
    </row>
    <row r="381" spans="3:6" s="736" customFormat="1" ht="12">
      <c r="C381" s="1252"/>
      <c r="E381" s="1135"/>
      <c r="F381" s="1135"/>
    </row>
    <row r="382" spans="3:6" s="736" customFormat="1" ht="12">
      <c r="C382" s="1252"/>
      <c r="E382" s="1135"/>
      <c r="F382" s="1135"/>
    </row>
    <row r="383" spans="3:6" s="736" customFormat="1" ht="12">
      <c r="C383" s="1252"/>
      <c r="E383" s="1135"/>
      <c r="F383" s="1135"/>
    </row>
    <row r="384" spans="3:6" s="736" customFormat="1" ht="12">
      <c r="C384" s="1252"/>
      <c r="E384" s="1135"/>
      <c r="F384" s="1135"/>
    </row>
    <row r="385" spans="3:6" s="736" customFormat="1" ht="12">
      <c r="C385" s="1252"/>
      <c r="E385" s="1135"/>
      <c r="F385" s="1135"/>
    </row>
    <row r="386" spans="3:6" s="736" customFormat="1" ht="12">
      <c r="C386" s="1252"/>
      <c r="E386" s="1135"/>
      <c r="F386" s="1135"/>
    </row>
    <row r="387" spans="3:6" s="736" customFormat="1" ht="12">
      <c r="C387" s="1252"/>
      <c r="E387" s="1135"/>
      <c r="F387" s="1135"/>
    </row>
    <row r="388" spans="3:6" s="736" customFormat="1" ht="12">
      <c r="C388" s="1252"/>
      <c r="E388" s="1135"/>
      <c r="F388" s="1135"/>
    </row>
    <row r="389" spans="3:6" s="736" customFormat="1" ht="12">
      <c r="C389" s="1252"/>
      <c r="E389" s="1135"/>
      <c r="F389" s="1135"/>
    </row>
    <row r="390" spans="3:6" s="736" customFormat="1" ht="12">
      <c r="C390" s="1252"/>
      <c r="E390" s="1135"/>
      <c r="F390" s="1135"/>
    </row>
    <row r="391" spans="3:6" s="736" customFormat="1" ht="12">
      <c r="C391" s="1252"/>
      <c r="E391" s="1135"/>
      <c r="F391" s="1135"/>
    </row>
    <row r="392" spans="3:6" s="736" customFormat="1" ht="12">
      <c r="C392" s="1252"/>
      <c r="E392" s="1135"/>
      <c r="F392" s="1135"/>
    </row>
    <row r="393" spans="3:6" s="736" customFormat="1" ht="12">
      <c r="C393" s="1252"/>
      <c r="E393" s="1135"/>
      <c r="F393" s="1135"/>
    </row>
    <row r="394" spans="3:6" s="736" customFormat="1" ht="12">
      <c r="C394" s="1252"/>
      <c r="E394" s="1135"/>
      <c r="F394" s="1135"/>
    </row>
    <row r="395" spans="3:6" s="736" customFormat="1" ht="12">
      <c r="C395" s="1252"/>
      <c r="E395" s="1135"/>
      <c r="F395" s="1135"/>
    </row>
    <row r="396" spans="3:6" s="736" customFormat="1" ht="12">
      <c r="C396" s="1252"/>
      <c r="E396" s="1135"/>
      <c r="F396" s="1135"/>
    </row>
    <row r="397" spans="3:6" s="736" customFormat="1" ht="12">
      <c r="C397" s="1252"/>
      <c r="E397" s="1135"/>
      <c r="F397" s="1135"/>
    </row>
    <row r="398" spans="3:6" s="736" customFormat="1" ht="12">
      <c r="C398" s="1252"/>
      <c r="E398" s="1135"/>
      <c r="F398" s="1135"/>
    </row>
    <row r="399" spans="3:6" s="736" customFormat="1" ht="12">
      <c r="C399" s="1252"/>
      <c r="E399" s="1135"/>
      <c r="F399" s="1135"/>
    </row>
    <row r="400" spans="3:6" s="736" customFormat="1" ht="12">
      <c r="C400" s="1252"/>
      <c r="E400" s="1135"/>
      <c r="F400" s="1135"/>
    </row>
    <row r="401" spans="3:6" s="736" customFormat="1" ht="12">
      <c r="C401" s="1252"/>
      <c r="E401" s="1135"/>
      <c r="F401" s="1135"/>
    </row>
    <row r="402" spans="3:6" s="736" customFormat="1" ht="12">
      <c r="C402" s="1252"/>
      <c r="E402" s="1135"/>
      <c r="F402" s="1135"/>
    </row>
    <row r="403" spans="3:6" s="736" customFormat="1" ht="12">
      <c r="C403" s="1252"/>
      <c r="E403" s="1135"/>
      <c r="F403" s="1135"/>
    </row>
    <row r="404" spans="3:6" s="736" customFormat="1" ht="12">
      <c r="C404" s="1252"/>
      <c r="E404" s="1135"/>
      <c r="F404" s="1135"/>
    </row>
    <row r="405" spans="3:6" s="736" customFormat="1" ht="12">
      <c r="C405" s="1252"/>
      <c r="E405" s="1135"/>
      <c r="F405" s="1135"/>
    </row>
    <row r="406" spans="3:6" s="736" customFormat="1" ht="12">
      <c r="C406" s="1252"/>
      <c r="E406" s="1135"/>
      <c r="F406" s="1135"/>
    </row>
    <row r="407" spans="3:6" s="736" customFormat="1" ht="12">
      <c r="C407" s="1252"/>
      <c r="E407" s="1135"/>
      <c r="F407" s="1135"/>
    </row>
    <row r="408" spans="3:6" s="736" customFormat="1" ht="12">
      <c r="C408" s="1252"/>
      <c r="E408" s="1135"/>
      <c r="F408" s="1135"/>
    </row>
    <row r="409" spans="3:6" s="736" customFormat="1" ht="12">
      <c r="C409" s="1252"/>
      <c r="E409" s="1135"/>
      <c r="F409" s="1135"/>
    </row>
    <row r="410" spans="3:6" s="736" customFormat="1" ht="12">
      <c r="C410" s="1252"/>
      <c r="E410" s="1135"/>
      <c r="F410" s="1135"/>
    </row>
    <row r="411" spans="3:6" s="736" customFormat="1" ht="12">
      <c r="C411" s="1252"/>
      <c r="E411" s="1135"/>
      <c r="F411" s="1135"/>
    </row>
    <row r="412" spans="3:6" s="736" customFormat="1" ht="12">
      <c r="C412" s="1252"/>
      <c r="E412" s="1135"/>
      <c r="F412" s="1135"/>
    </row>
    <row r="413" spans="3:6" s="736" customFormat="1" ht="12">
      <c r="C413" s="1252"/>
      <c r="E413" s="1135"/>
      <c r="F413" s="1135"/>
    </row>
    <row r="414" spans="3:6" s="736" customFormat="1" ht="12">
      <c r="C414" s="1252"/>
      <c r="E414" s="1135"/>
      <c r="F414" s="1135"/>
    </row>
    <row r="415" spans="3:6" s="736" customFormat="1" ht="12">
      <c r="C415" s="1252"/>
      <c r="E415" s="1135"/>
      <c r="F415" s="1135"/>
    </row>
    <row r="416" spans="3:6" s="736" customFormat="1" ht="12">
      <c r="C416" s="1252"/>
      <c r="E416" s="1135"/>
      <c r="F416" s="1135"/>
    </row>
    <row r="417" spans="3:6" s="736" customFormat="1" ht="12">
      <c r="C417" s="1252"/>
      <c r="E417" s="1135"/>
      <c r="F417" s="1135"/>
    </row>
    <row r="418" spans="3:6" s="736" customFormat="1" ht="12">
      <c r="C418" s="1252"/>
      <c r="E418" s="1135"/>
      <c r="F418" s="1135"/>
    </row>
    <row r="419" spans="3:6" s="736" customFormat="1" ht="12">
      <c r="C419" s="1252"/>
      <c r="E419" s="1135"/>
      <c r="F419" s="1135"/>
    </row>
    <row r="420" spans="3:6" s="736" customFormat="1" ht="12">
      <c r="C420" s="1252"/>
      <c r="E420" s="1135"/>
      <c r="F420" s="1135"/>
    </row>
    <row r="421" spans="3:6" s="736" customFormat="1" ht="12">
      <c r="C421" s="1252"/>
      <c r="E421" s="1135"/>
      <c r="F421" s="1135"/>
    </row>
    <row r="422" spans="3:6" s="736" customFormat="1" ht="12">
      <c r="C422" s="1252"/>
      <c r="E422" s="1135"/>
      <c r="F422" s="1135"/>
    </row>
    <row r="423" spans="3:6" s="736" customFormat="1" ht="12">
      <c r="C423" s="1252"/>
      <c r="E423" s="1135"/>
      <c r="F423" s="1135"/>
    </row>
    <row r="424" spans="3:6" s="736" customFormat="1" ht="12">
      <c r="C424" s="1252"/>
      <c r="E424" s="1135"/>
      <c r="F424" s="1135"/>
    </row>
    <row r="425" spans="3:6" s="736" customFormat="1" ht="12">
      <c r="C425" s="1252"/>
      <c r="E425" s="1135"/>
      <c r="F425" s="1135"/>
    </row>
    <row r="426" spans="3:6" s="736" customFormat="1" ht="12">
      <c r="C426" s="1252"/>
      <c r="E426" s="1135"/>
      <c r="F426" s="1135"/>
    </row>
    <row r="427" spans="3:6" s="736" customFormat="1" ht="12">
      <c r="C427" s="1252"/>
      <c r="E427" s="1135"/>
      <c r="F427" s="1135"/>
    </row>
    <row r="428" spans="3:6" s="736" customFormat="1" ht="12">
      <c r="C428" s="1252"/>
      <c r="E428" s="1135"/>
      <c r="F428" s="1135"/>
    </row>
    <row r="429" spans="3:6" s="736" customFormat="1" ht="12">
      <c r="C429" s="1252"/>
      <c r="E429" s="1135"/>
      <c r="F429" s="1135"/>
    </row>
    <row r="430" spans="3:6" s="736" customFormat="1" ht="12">
      <c r="C430" s="1252"/>
      <c r="E430" s="1135"/>
      <c r="F430" s="1135"/>
    </row>
    <row r="431" spans="3:6" s="736" customFormat="1" ht="12">
      <c r="C431" s="1252"/>
      <c r="E431" s="1135"/>
      <c r="F431" s="1135"/>
    </row>
    <row r="432" spans="3:6" s="736" customFormat="1" ht="12">
      <c r="C432" s="1252"/>
      <c r="E432" s="1135"/>
      <c r="F432" s="1135"/>
    </row>
    <row r="433" spans="3:6" s="736" customFormat="1" ht="12">
      <c r="C433" s="1252"/>
      <c r="E433" s="1135"/>
      <c r="F433" s="1135"/>
    </row>
    <row r="434" spans="3:6" s="736" customFormat="1" ht="12">
      <c r="C434" s="1252"/>
      <c r="E434" s="1135"/>
      <c r="F434" s="1135"/>
    </row>
    <row r="435" spans="3:6" s="736" customFormat="1" ht="12">
      <c r="C435" s="1252"/>
      <c r="E435" s="1135"/>
      <c r="F435" s="1135"/>
    </row>
    <row r="436" spans="3:6" s="736" customFormat="1" ht="12">
      <c r="C436" s="1252"/>
      <c r="E436" s="1135"/>
      <c r="F436" s="1135"/>
    </row>
    <row r="437" spans="3:6" s="736" customFormat="1" ht="12">
      <c r="C437" s="1252"/>
      <c r="E437" s="1135"/>
      <c r="F437" s="1135"/>
    </row>
    <row r="438" spans="3:6" s="736" customFormat="1" ht="12">
      <c r="C438" s="1252"/>
      <c r="E438" s="1135"/>
      <c r="F438" s="1135"/>
    </row>
    <row r="439" spans="3:6" s="736" customFormat="1" ht="12">
      <c r="C439" s="1252"/>
      <c r="E439" s="1135"/>
      <c r="F439" s="1135"/>
    </row>
    <row r="440" spans="3:6" s="736" customFormat="1" ht="12">
      <c r="C440" s="1252"/>
      <c r="E440" s="1135"/>
      <c r="F440" s="1135"/>
    </row>
    <row r="441" spans="3:6" s="736" customFormat="1" ht="12">
      <c r="C441" s="1252"/>
      <c r="E441" s="1135"/>
      <c r="F441" s="1135"/>
    </row>
    <row r="442" spans="3:6" s="736" customFormat="1" ht="12">
      <c r="C442" s="1252"/>
      <c r="E442" s="1135"/>
      <c r="F442" s="1135"/>
    </row>
    <row r="443" spans="3:6" s="736" customFormat="1" ht="12">
      <c r="C443" s="1252"/>
      <c r="E443" s="1135"/>
      <c r="F443" s="1135"/>
    </row>
    <row r="444" spans="3:6" s="736" customFormat="1" ht="12">
      <c r="C444" s="1252"/>
      <c r="E444" s="1135"/>
      <c r="F444" s="1135"/>
    </row>
    <row r="445" spans="3:6" s="736" customFormat="1" ht="12">
      <c r="C445" s="1252"/>
      <c r="E445" s="1135"/>
      <c r="F445" s="1135"/>
    </row>
    <row r="446" spans="3:6" s="736" customFormat="1" ht="12">
      <c r="C446" s="1252"/>
      <c r="E446" s="1135"/>
      <c r="F446" s="1135"/>
    </row>
    <row r="447" spans="3:6" s="736" customFormat="1" ht="12">
      <c r="C447" s="1252"/>
      <c r="E447" s="1135"/>
      <c r="F447" s="1135"/>
    </row>
    <row r="448" spans="3:6" s="736" customFormat="1" ht="12">
      <c r="C448" s="1252"/>
      <c r="E448" s="1135"/>
      <c r="F448" s="1135"/>
    </row>
    <row r="449" spans="3:6" s="736" customFormat="1" ht="12">
      <c r="C449" s="1252"/>
      <c r="E449" s="1135"/>
      <c r="F449" s="1135"/>
    </row>
    <row r="450" spans="3:6" s="736" customFormat="1" ht="12">
      <c r="C450" s="1252"/>
      <c r="E450" s="1135"/>
      <c r="F450" s="1135"/>
    </row>
    <row r="451" spans="3:6" s="736" customFormat="1" ht="12">
      <c r="C451" s="1252"/>
      <c r="E451" s="1135"/>
      <c r="F451" s="1135"/>
    </row>
    <row r="452" spans="3:6" s="736" customFormat="1" ht="12">
      <c r="C452" s="1252"/>
      <c r="E452" s="1135"/>
      <c r="F452" s="1135"/>
    </row>
    <row r="453" spans="3:6" s="736" customFormat="1" ht="12">
      <c r="C453" s="1252"/>
      <c r="E453" s="1135"/>
      <c r="F453" s="1135"/>
    </row>
    <row r="454" spans="3:6" s="736" customFormat="1" ht="12">
      <c r="C454" s="1252"/>
      <c r="E454" s="1135"/>
      <c r="F454" s="1135"/>
    </row>
    <row r="455" spans="3:6" s="736" customFormat="1" ht="12">
      <c r="C455" s="1252"/>
      <c r="E455" s="1135"/>
      <c r="F455" s="1135"/>
    </row>
    <row r="456" spans="3:6" s="736" customFormat="1" ht="12">
      <c r="C456" s="1252"/>
      <c r="E456" s="1135"/>
      <c r="F456" s="1135"/>
    </row>
    <row r="457" spans="3:6" s="736" customFormat="1" ht="12">
      <c r="C457" s="1252"/>
      <c r="E457" s="1135"/>
      <c r="F457" s="1135"/>
    </row>
    <row r="458" spans="3:6" s="736" customFormat="1" ht="12">
      <c r="C458" s="1252"/>
      <c r="E458" s="1135"/>
      <c r="F458" s="1135"/>
    </row>
    <row r="459" spans="3:6" s="736" customFormat="1" ht="12">
      <c r="C459" s="1252"/>
      <c r="E459" s="1135"/>
      <c r="F459" s="1135"/>
    </row>
    <row r="460" spans="3:6" s="736" customFormat="1" ht="12">
      <c r="C460" s="1252"/>
      <c r="E460" s="1135"/>
      <c r="F460" s="1135"/>
    </row>
    <row r="461" spans="3:6" s="736" customFormat="1" ht="12">
      <c r="C461" s="1252"/>
      <c r="E461" s="1135"/>
      <c r="F461" s="1135"/>
    </row>
    <row r="462" spans="3:6" s="736" customFormat="1" ht="12">
      <c r="C462" s="1252"/>
      <c r="E462" s="1135"/>
      <c r="F462" s="1135"/>
    </row>
    <row r="463" spans="3:6" s="736" customFormat="1" ht="12">
      <c r="C463" s="1252"/>
      <c r="E463" s="1135"/>
      <c r="F463" s="1135"/>
    </row>
    <row r="464" spans="3:6" s="736" customFormat="1" ht="12">
      <c r="C464" s="1252"/>
      <c r="E464" s="1135"/>
      <c r="F464" s="1135"/>
    </row>
    <row r="465" spans="3:6" s="736" customFormat="1" ht="12">
      <c r="C465" s="1252"/>
      <c r="E465" s="1135"/>
      <c r="F465" s="1135"/>
    </row>
    <row r="466" spans="3:6" s="736" customFormat="1" ht="12">
      <c r="C466" s="1252"/>
      <c r="E466" s="1135"/>
      <c r="F466" s="1135"/>
    </row>
    <row r="467" spans="3:6" s="736" customFormat="1" ht="12">
      <c r="C467" s="1252"/>
      <c r="E467" s="1135"/>
      <c r="F467" s="1135"/>
    </row>
    <row r="468" spans="3:6" s="736" customFormat="1" ht="12">
      <c r="C468" s="1252"/>
      <c r="E468" s="1135"/>
      <c r="F468" s="1135"/>
    </row>
    <row r="469" spans="3:6" s="736" customFormat="1" ht="12">
      <c r="C469" s="1252"/>
      <c r="E469" s="1135"/>
      <c r="F469" s="1135"/>
    </row>
    <row r="470" spans="3:6" s="736" customFormat="1" ht="12">
      <c r="C470" s="1252"/>
      <c r="E470" s="1135"/>
      <c r="F470" s="1135"/>
    </row>
    <row r="471" spans="3:6" s="736" customFormat="1" ht="12">
      <c r="C471" s="1252"/>
      <c r="E471" s="1135"/>
      <c r="F471" s="1135"/>
    </row>
    <row r="472" spans="3:6" s="736" customFormat="1" ht="12">
      <c r="C472" s="1252"/>
      <c r="E472" s="1135"/>
      <c r="F472" s="1135"/>
    </row>
  </sheetData>
  <sheetProtection/>
  <mergeCells count="43">
    <mergeCell ref="A324:A325"/>
    <mergeCell ref="A308:A309"/>
    <mergeCell ref="A317:I317"/>
    <mergeCell ref="A318:I318"/>
    <mergeCell ref="A319:G319"/>
    <mergeCell ref="A321:A322"/>
    <mergeCell ref="B321:B322"/>
    <mergeCell ref="C321:C322"/>
    <mergeCell ref="D321:D322"/>
    <mergeCell ref="E321:E322"/>
    <mergeCell ref="F321:G321"/>
    <mergeCell ref="A297:A298"/>
    <mergeCell ref="B297:B298"/>
    <mergeCell ref="C297:C298"/>
    <mergeCell ref="D297:D298"/>
    <mergeCell ref="E297:E298"/>
    <mergeCell ref="F297:G297"/>
    <mergeCell ref="F51:G51"/>
    <mergeCell ref="A241:G241"/>
    <mergeCell ref="A242:G242"/>
    <mergeCell ref="A244:A245"/>
    <mergeCell ref="B244:B245"/>
    <mergeCell ref="C244:C245"/>
    <mergeCell ref="D244:D245"/>
    <mergeCell ref="E244:E245"/>
    <mergeCell ref="F244:G244"/>
    <mergeCell ref="A3:G3"/>
    <mergeCell ref="B6:B7"/>
    <mergeCell ref="C6:D7"/>
    <mergeCell ref="E6:E7"/>
    <mergeCell ref="F6:G6"/>
    <mergeCell ref="A48:G48"/>
    <mergeCell ref="A47:G47"/>
    <mergeCell ref="A294:G294"/>
    <mergeCell ref="A295:G295"/>
    <mergeCell ref="A4:G4"/>
    <mergeCell ref="C8:D8"/>
    <mergeCell ref="C10:D10"/>
    <mergeCell ref="A51:A52"/>
    <mergeCell ref="B51:B52"/>
    <mergeCell ref="C51:C52"/>
    <mergeCell ref="D51:D52"/>
    <mergeCell ref="E51:E52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5" horizontalDpi="300" verticalDpi="300" orientation="landscape" paperSize="9" scale="79" r:id="rId1"/>
  <rowBreaks count="9" manualBreakCount="9">
    <brk id="46" max="6" man="1"/>
    <brk id="83" max="6" man="1"/>
    <brk id="123" max="6" man="1"/>
    <brk id="154" max="6" man="1"/>
    <brk id="192" max="6" man="1"/>
    <brk id="226" max="6" man="1"/>
    <brk id="240" max="6" man="1"/>
    <brk id="293" max="6" man="1"/>
    <brk id="34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F17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5.25390625" style="10" customWidth="1"/>
    <col min="2" max="2" width="58.375" style="10" customWidth="1"/>
    <col min="3" max="3" width="9.375" style="10" customWidth="1"/>
    <col min="4" max="4" width="11.125" style="10" customWidth="1"/>
    <col min="5" max="5" width="24.625" style="10" customWidth="1"/>
    <col min="6" max="16384" width="9.125" style="10" customWidth="1"/>
  </cols>
  <sheetData>
    <row r="1" spans="5:6" ht="55.5" customHeight="1">
      <c r="E1" s="1063" t="s">
        <v>633</v>
      </c>
      <c r="F1" s="1063"/>
    </row>
    <row r="2" spans="5:6" ht="12">
      <c r="E2" s="122"/>
      <c r="F2" s="122"/>
    </row>
    <row r="3" spans="1:6" ht="64.5" customHeight="1">
      <c r="A3" s="1482" t="s">
        <v>511</v>
      </c>
      <c r="B3" s="1482"/>
      <c r="C3" s="1482"/>
      <c r="D3" s="1482"/>
      <c r="E3" s="1482"/>
      <c r="F3" s="23"/>
    </row>
    <row r="4" spans="1:5" ht="16.5" thickBot="1">
      <c r="A4" s="5"/>
      <c r="B4" s="88"/>
      <c r="C4" s="88"/>
      <c r="D4" s="88"/>
      <c r="E4" s="58" t="s">
        <v>116</v>
      </c>
    </row>
    <row r="5" spans="1:6" ht="15" customHeight="1">
      <c r="A5" s="1484" t="s">
        <v>115</v>
      </c>
      <c r="B5" s="1486" t="s">
        <v>459</v>
      </c>
      <c r="C5" s="1486" t="s">
        <v>440</v>
      </c>
      <c r="D5" s="1491" t="s">
        <v>458</v>
      </c>
      <c r="E5" s="1488" t="s">
        <v>421</v>
      </c>
      <c r="F5" s="63"/>
    </row>
    <row r="6" spans="1:6" ht="15" customHeight="1">
      <c r="A6" s="1485"/>
      <c r="B6" s="1487"/>
      <c r="C6" s="1487"/>
      <c r="D6" s="1493"/>
      <c r="E6" s="1489"/>
      <c r="F6" s="63"/>
    </row>
    <row r="7" spans="1:5" s="29" customFormat="1" ht="12" thickBot="1">
      <c r="A7" s="1070">
        <v>1</v>
      </c>
      <c r="B7" s="705">
        <v>2</v>
      </c>
      <c r="C7" s="705">
        <v>3</v>
      </c>
      <c r="D7" s="705">
        <v>4</v>
      </c>
      <c r="E7" s="1071">
        <v>5</v>
      </c>
    </row>
    <row r="8" spans="1:5" ht="14.25">
      <c r="A8" s="71"/>
      <c r="B8" s="72"/>
      <c r="C8" s="452"/>
      <c r="D8" s="207"/>
      <c r="E8" s="73"/>
    </row>
    <row r="9" spans="1:5" ht="28.5">
      <c r="A9" s="1062">
        <v>1</v>
      </c>
      <c r="B9" s="1064" t="s">
        <v>510</v>
      </c>
      <c r="C9" s="26">
        <v>853</v>
      </c>
      <c r="D9" s="26">
        <v>85395</v>
      </c>
      <c r="E9" s="126">
        <f>SUM(E11:E14)</f>
        <v>694306</v>
      </c>
    </row>
    <row r="10" spans="1:5" s="1067" customFormat="1" ht="15">
      <c r="A10" s="1065"/>
      <c r="B10" s="4" t="s">
        <v>78</v>
      </c>
      <c r="C10" s="1066"/>
      <c r="D10" s="1066"/>
      <c r="E10" s="74"/>
    </row>
    <row r="11" spans="1:5" s="1067" customFormat="1" ht="15">
      <c r="A11" s="7">
        <v>2</v>
      </c>
      <c r="B11" s="4" t="s">
        <v>506</v>
      </c>
      <c r="C11" s="1066"/>
      <c r="D11" s="1066"/>
      <c r="E11" s="77">
        <v>138598</v>
      </c>
    </row>
    <row r="12" spans="1:5" s="1067" customFormat="1" ht="15">
      <c r="A12" s="7">
        <v>3</v>
      </c>
      <c r="B12" s="4" t="s">
        <v>507</v>
      </c>
      <c r="C12" s="1066"/>
      <c r="D12" s="1066"/>
      <c r="E12" s="77">
        <v>125133</v>
      </c>
    </row>
    <row r="13" spans="1:5" ht="14.25">
      <c r="A13" s="7">
        <v>4</v>
      </c>
      <c r="B13" s="4" t="s">
        <v>508</v>
      </c>
      <c r="C13" s="26"/>
      <c r="D13" s="26"/>
      <c r="E13" s="77">
        <v>105008</v>
      </c>
    </row>
    <row r="14" spans="1:5" ht="14.25">
      <c r="A14" s="7">
        <v>5</v>
      </c>
      <c r="B14" s="4" t="s">
        <v>509</v>
      </c>
      <c r="C14" s="26"/>
      <c r="D14" s="26"/>
      <c r="E14" s="77">
        <v>325567</v>
      </c>
    </row>
    <row r="15" spans="1:5" ht="15" thickBot="1">
      <c r="A15" s="9"/>
      <c r="B15" s="27"/>
      <c r="C15" s="8"/>
      <c r="D15" s="8"/>
      <c r="E15" s="269"/>
    </row>
    <row r="16" spans="1:5" ht="14.25">
      <c r="A16" s="7"/>
      <c r="B16" s="4"/>
      <c r="C16" s="26"/>
      <c r="D16" s="26"/>
      <c r="E16" s="77"/>
    </row>
    <row r="17" spans="1:5" ht="15.75" thickBot="1">
      <c r="A17" s="9"/>
      <c r="B17" s="258" t="s">
        <v>457</v>
      </c>
      <c r="C17" s="258" t="s">
        <v>117</v>
      </c>
      <c r="D17" s="258" t="s">
        <v>117</v>
      </c>
      <c r="E17" s="270">
        <f>SUM(E9)</f>
        <v>694306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14"/>
  <sheetViews>
    <sheetView showGridLines="0" view="pageBreakPreview" zoomScale="90" zoomScaleNormal="90" zoomScaleSheetLayoutView="90" zoomScalePageLayoutView="0" workbookViewId="0" topLeftCell="A1">
      <selection activeCell="H213" sqref="H213"/>
    </sheetView>
  </sheetViews>
  <sheetFormatPr defaultColWidth="9.00390625" defaultRowHeight="12"/>
  <cols>
    <col min="1" max="1" width="5.875" style="771" customWidth="1"/>
    <col min="2" max="3" width="7.75390625" style="771" customWidth="1"/>
    <col min="4" max="4" width="73.125" style="772" customWidth="1"/>
    <col min="5" max="6" width="7.75390625" style="773" customWidth="1"/>
    <col min="7" max="7" width="14.875" style="773" customWidth="1"/>
    <col min="8" max="8" width="17.875" style="773" customWidth="1"/>
    <col min="9" max="9" width="13.75390625" style="774" customWidth="1"/>
    <col min="10" max="11" width="13.75390625" style="773" customWidth="1"/>
    <col min="12" max="13" width="13.75390625" style="771" customWidth="1"/>
    <col min="14" max="15" width="13.75390625" style="775" customWidth="1"/>
    <col min="16" max="16" width="23.00390625" style="776" customWidth="1"/>
    <col min="17" max="17" width="9.875" style="775" bestFit="1" customWidth="1"/>
    <col min="18" max="18" width="10.875" style="775" bestFit="1" customWidth="1"/>
    <col min="19" max="16384" width="9.00390625" style="775" customWidth="1"/>
  </cols>
  <sheetData>
    <row r="1" spans="1:16" s="341" customFormat="1" ht="55.5" customHeight="1">
      <c r="A1" s="768"/>
      <c r="B1" s="769"/>
      <c r="C1" s="770"/>
      <c r="D1" s="770"/>
      <c r="O1" s="1592" t="s">
        <v>634</v>
      </c>
      <c r="P1" s="1592"/>
    </row>
    <row r="2" spans="1:16" s="972" customFormat="1" ht="27.75" customHeight="1">
      <c r="A2" s="1593" t="s">
        <v>635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4"/>
    </row>
    <row r="3" spans="1:16" s="1081" customFormat="1" ht="26.25" customHeight="1" thickBot="1">
      <c r="A3" s="1595"/>
      <c r="B3" s="1595"/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  <c r="O3" s="1595"/>
      <c r="P3" s="1596"/>
    </row>
    <row r="4" spans="1:16" s="1081" customFormat="1" ht="15.75" customHeight="1">
      <c r="A4" s="1557" t="s">
        <v>118</v>
      </c>
      <c r="B4" s="1544" t="s">
        <v>440</v>
      </c>
      <c r="C4" s="1544" t="s">
        <v>175</v>
      </c>
      <c r="D4" s="1544" t="s">
        <v>0</v>
      </c>
      <c r="E4" s="1567" t="s">
        <v>234</v>
      </c>
      <c r="F4" s="1580"/>
      <c r="G4" s="1544" t="s">
        <v>176</v>
      </c>
      <c r="H4" s="1567" t="s">
        <v>238</v>
      </c>
      <c r="I4" s="1547" t="s">
        <v>1</v>
      </c>
      <c r="J4" s="1569"/>
      <c r="K4" s="1569"/>
      <c r="L4" s="1569"/>
      <c r="M4" s="1569"/>
      <c r="N4" s="1569"/>
      <c r="O4" s="1569"/>
      <c r="P4" s="1550" t="s">
        <v>248</v>
      </c>
    </row>
    <row r="5" spans="1:16" s="1081" customFormat="1" ht="15.75" customHeight="1">
      <c r="A5" s="1558"/>
      <c r="B5" s="1545"/>
      <c r="C5" s="1545"/>
      <c r="D5" s="1545"/>
      <c r="E5" s="1560"/>
      <c r="F5" s="1561"/>
      <c r="G5" s="1545"/>
      <c r="H5" s="1545"/>
      <c r="I5" s="1545" t="s">
        <v>532</v>
      </c>
      <c r="J5" s="1545" t="s">
        <v>533</v>
      </c>
      <c r="K5" s="1560" t="s">
        <v>249</v>
      </c>
      <c r="L5" s="1571"/>
      <c r="M5" s="1571"/>
      <c r="N5" s="1571"/>
      <c r="O5" s="1571"/>
      <c r="P5" s="1551"/>
    </row>
    <row r="6" spans="1:16" s="1081" customFormat="1" ht="31.5" customHeight="1" thickBot="1">
      <c r="A6" s="1559"/>
      <c r="B6" s="1546"/>
      <c r="C6" s="1546"/>
      <c r="D6" s="1546"/>
      <c r="E6" s="823" t="s">
        <v>2</v>
      </c>
      <c r="F6" s="823" t="s">
        <v>3</v>
      </c>
      <c r="G6" s="1546"/>
      <c r="H6" s="1568"/>
      <c r="I6" s="1568"/>
      <c r="J6" s="1568"/>
      <c r="K6" s="824">
        <v>2011</v>
      </c>
      <c r="L6" s="825">
        <v>2012</v>
      </c>
      <c r="M6" s="825">
        <v>2013</v>
      </c>
      <c r="N6" s="825">
        <v>2014</v>
      </c>
      <c r="O6" s="826" t="s">
        <v>534</v>
      </c>
      <c r="P6" s="1570"/>
    </row>
    <row r="7" spans="1:16" s="1081" customFormat="1" ht="15.75" thickBot="1">
      <c r="A7" s="827">
        <v>1</v>
      </c>
      <c r="B7" s="828">
        <v>2</v>
      </c>
      <c r="C7" s="828">
        <v>3</v>
      </c>
      <c r="D7" s="828">
        <v>4</v>
      </c>
      <c r="E7" s="829">
        <v>5</v>
      </c>
      <c r="F7" s="829">
        <v>6</v>
      </c>
      <c r="G7" s="829">
        <v>7</v>
      </c>
      <c r="H7" s="830">
        <v>8</v>
      </c>
      <c r="I7" s="829">
        <v>9</v>
      </c>
      <c r="J7" s="828">
        <v>10</v>
      </c>
      <c r="K7" s="828">
        <v>11</v>
      </c>
      <c r="L7" s="828">
        <v>12</v>
      </c>
      <c r="M7" s="828">
        <v>13</v>
      </c>
      <c r="N7" s="828">
        <v>14</v>
      </c>
      <c r="O7" s="831">
        <v>15</v>
      </c>
      <c r="P7" s="832">
        <v>16</v>
      </c>
    </row>
    <row r="8" spans="1:16" s="1081" customFormat="1" ht="17.25" customHeight="1" thickBot="1" thickTop="1">
      <c r="A8" s="1597" t="s">
        <v>239</v>
      </c>
      <c r="B8" s="1521"/>
      <c r="C8" s="1521"/>
      <c r="D8" s="1521"/>
      <c r="E8" s="1521"/>
      <c r="F8" s="1521"/>
      <c r="G8" s="1521"/>
      <c r="H8" s="833">
        <f>SUM(I8:O8)</f>
        <v>621350</v>
      </c>
      <c r="I8" s="834">
        <f>SUM(I10)</f>
        <v>121350</v>
      </c>
      <c r="J8" s="834">
        <f aca="true" t="shared" si="0" ref="J8:O8">SUM(J10)</f>
        <v>500000</v>
      </c>
      <c r="K8" s="834">
        <f t="shared" si="0"/>
        <v>0</v>
      </c>
      <c r="L8" s="834">
        <f t="shared" si="0"/>
        <v>0</v>
      </c>
      <c r="M8" s="834">
        <f t="shared" si="0"/>
        <v>0</v>
      </c>
      <c r="N8" s="834">
        <f t="shared" si="0"/>
        <v>0</v>
      </c>
      <c r="O8" s="834">
        <f t="shared" si="0"/>
        <v>0</v>
      </c>
      <c r="P8" s="835"/>
    </row>
    <row r="9" spans="1:16" s="1081" customFormat="1" ht="17.25" customHeight="1">
      <c r="A9" s="1511">
        <v>1</v>
      </c>
      <c r="B9" s="1514">
        <v>400</v>
      </c>
      <c r="C9" s="1514">
        <v>40002</v>
      </c>
      <c r="D9" s="837" t="s">
        <v>240</v>
      </c>
      <c r="E9" s="1514">
        <v>2008</v>
      </c>
      <c r="F9" s="1514">
        <v>2010</v>
      </c>
      <c r="G9" s="1525" t="s">
        <v>13</v>
      </c>
      <c r="H9" s="838"/>
      <c r="I9" s="839"/>
      <c r="J9" s="839"/>
      <c r="K9" s="839"/>
      <c r="L9" s="839"/>
      <c r="M9" s="840"/>
      <c r="N9" s="840"/>
      <c r="O9" s="841"/>
      <c r="P9" s="842"/>
    </row>
    <row r="10" spans="1:16" s="1081" customFormat="1" ht="17.25" customHeight="1">
      <c r="A10" s="1512"/>
      <c r="B10" s="1515"/>
      <c r="C10" s="1515"/>
      <c r="D10" s="843" t="s">
        <v>251</v>
      </c>
      <c r="E10" s="1515"/>
      <c r="F10" s="1515"/>
      <c r="G10" s="1536"/>
      <c r="H10" s="844">
        <f>SUM(I10:O10)</f>
        <v>621350</v>
      </c>
      <c r="I10" s="845">
        <f>SUM(I11:I11)</f>
        <v>121350</v>
      </c>
      <c r="J10" s="845">
        <f>SUM(J11:J11)</f>
        <v>500000</v>
      </c>
      <c r="K10" s="845"/>
      <c r="L10" s="845"/>
      <c r="M10" s="845"/>
      <c r="N10" s="846"/>
      <c r="O10" s="847"/>
      <c r="P10" s="842"/>
    </row>
    <row r="11" spans="1:16" s="1081" customFormat="1" ht="17.25" customHeight="1" thickBot="1">
      <c r="A11" s="1512"/>
      <c r="B11" s="1515"/>
      <c r="C11" s="1515"/>
      <c r="D11" s="848" t="s">
        <v>195</v>
      </c>
      <c r="E11" s="1515"/>
      <c r="F11" s="1515"/>
      <c r="G11" s="1536"/>
      <c r="H11" s="849">
        <f>SUM(I11:O11)</f>
        <v>621350</v>
      </c>
      <c r="I11" s="850">
        <v>121350</v>
      </c>
      <c r="J11" s="850">
        <v>500000</v>
      </c>
      <c r="K11" s="850"/>
      <c r="L11" s="851"/>
      <c r="M11" s="851"/>
      <c r="N11" s="846"/>
      <c r="O11" s="847"/>
      <c r="P11" s="842"/>
    </row>
    <row r="12" spans="1:16" s="1082" customFormat="1" ht="17.25" customHeight="1" thickBot="1" thickTop="1">
      <c r="A12" s="1520" t="s">
        <v>4</v>
      </c>
      <c r="B12" s="1521"/>
      <c r="C12" s="1521"/>
      <c r="D12" s="1521"/>
      <c r="E12" s="1521"/>
      <c r="F12" s="1521"/>
      <c r="G12" s="1521"/>
      <c r="H12" s="833">
        <f>SUM(I12:O12)</f>
        <v>18128850</v>
      </c>
      <c r="I12" s="852">
        <f aca="true" t="shared" si="1" ref="I12:N12">SUM(I14,I18,I21,I25,I28)</f>
        <v>490443</v>
      </c>
      <c r="J12" s="852">
        <f t="shared" si="1"/>
        <v>6188407</v>
      </c>
      <c r="K12" s="852">
        <f t="shared" si="1"/>
        <v>5950000</v>
      </c>
      <c r="L12" s="852">
        <f t="shared" si="1"/>
        <v>5500000</v>
      </c>
      <c r="M12" s="852">
        <f t="shared" si="1"/>
        <v>0</v>
      </c>
      <c r="N12" s="852">
        <f t="shared" si="1"/>
        <v>0</v>
      </c>
      <c r="O12" s="852">
        <f>SUM(O14,O21,O25,O28)</f>
        <v>0</v>
      </c>
      <c r="P12" s="853"/>
    </row>
    <row r="13" spans="1:16" s="1082" customFormat="1" ht="18" customHeight="1">
      <c r="A13" s="1511">
        <v>2</v>
      </c>
      <c r="B13" s="1514">
        <v>600</v>
      </c>
      <c r="C13" s="1514">
        <v>60013</v>
      </c>
      <c r="D13" s="1091" t="s">
        <v>241</v>
      </c>
      <c r="E13" s="1514">
        <v>2006</v>
      </c>
      <c r="F13" s="1514">
        <v>2012</v>
      </c>
      <c r="G13" s="1525" t="s">
        <v>178</v>
      </c>
      <c r="H13" s="1321"/>
      <c r="I13" s="870"/>
      <c r="J13" s="839"/>
      <c r="K13" s="839"/>
      <c r="L13" s="840"/>
      <c r="M13" s="840"/>
      <c r="N13" s="840"/>
      <c r="O13" s="841"/>
      <c r="P13" s="871"/>
    </row>
    <row r="14" spans="1:16" s="1082" customFormat="1" ht="15.75">
      <c r="A14" s="1512"/>
      <c r="B14" s="1515"/>
      <c r="C14" s="1515"/>
      <c r="D14" s="843" t="s">
        <v>251</v>
      </c>
      <c r="E14" s="1515"/>
      <c r="F14" s="1515"/>
      <c r="G14" s="1536"/>
      <c r="H14" s="906">
        <f>SUM(I14:O14)</f>
        <v>6309962</v>
      </c>
      <c r="I14" s="906">
        <f>SUM(I15:I16)</f>
        <v>269962</v>
      </c>
      <c r="J14" s="906">
        <f>SUM(J15:J16)</f>
        <v>2640000</v>
      </c>
      <c r="K14" s="906">
        <f>SUM(K15:K16)</f>
        <v>1700000</v>
      </c>
      <c r="L14" s="906">
        <f>SUM(L15:L16)</f>
        <v>1700000</v>
      </c>
      <c r="M14" s="851"/>
      <c r="N14" s="851"/>
      <c r="O14" s="873"/>
      <c r="P14" s="842"/>
    </row>
    <row r="15" spans="1:16" s="1082" customFormat="1" ht="15">
      <c r="A15" s="1512"/>
      <c r="B15" s="1515"/>
      <c r="C15" s="1515"/>
      <c r="D15" s="884" t="s">
        <v>195</v>
      </c>
      <c r="E15" s="1515"/>
      <c r="F15" s="1515"/>
      <c r="G15" s="1536"/>
      <c r="H15" s="850">
        <f>SUM(I15:O15)</f>
        <v>2365962</v>
      </c>
      <c r="I15" s="875">
        <v>269962</v>
      </c>
      <c r="J15" s="850">
        <v>396000</v>
      </c>
      <c r="K15" s="850">
        <v>850000</v>
      </c>
      <c r="L15" s="850">
        <v>850000</v>
      </c>
      <c r="M15" s="851"/>
      <c r="N15" s="851"/>
      <c r="O15" s="873"/>
      <c r="P15" s="1598" t="s">
        <v>617</v>
      </c>
    </row>
    <row r="16" spans="1:16" s="1082" customFormat="1" ht="15.75" thickBot="1">
      <c r="A16" s="1522"/>
      <c r="B16" s="1523"/>
      <c r="C16" s="1523"/>
      <c r="D16" s="877" t="s">
        <v>294</v>
      </c>
      <c r="E16" s="1523"/>
      <c r="F16" s="1523"/>
      <c r="G16" s="1562"/>
      <c r="H16" s="879">
        <f>SUM(I16:O16)</f>
        <v>3944000</v>
      </c>
      <c r="I16" s="878"/>
      <c r="J16" s="879">
        <v>2244000</v>
      </c>
      <c r="K16" s="879">
        <v>850000</v>
      </c>
      <c r="L16" s="879">
        <v>850000</v>
      </c>
      <c r="M16" s="880"/>
      <c r="N16" s="880"/>
      <c r="O16" s="881"/>
      <c r="P16" s="1599"/>
    </row>
    <row r="17" spans="1:16" s="1082" customFormat="1" ht="34.5" customHeight="1">
      <c r="A17" s="1511">
        <v>3</v>
      </c>
      <c r="B17" s="1514">
        <v>600</v>
      </c>
      <c r="C17" s="1514">
        <v>60013</v>
      </c>
      <c r="D17" s="837" t="s">
        <v>47</v>
      </c>
      <c r="E17" s="1514">
        <v>2009</v>
      </c>
      <c r="F17" s="1514">
        <v>2010</v>
      </c>
      <c r="G17" s="1525" t="s">
        <v>178</v>
      </c>
      <c r="H17" s="869"/>
      <c r="I17" s="870"/>
      <c r="J17" s="839"/>
      <c r="K17" s="839"/>
      <c r="L17" s="840"/>
      <c r="M17" s="840"/>
      <c r="N17" s="840"/>
      <c r="O17" s="841"/>
      <c r="P17" s="871"/>
    </row>
    <row r="18" spans="1:16" s="1082" customFormat="1" ht="15.75">
      <c r="A18" s="1512"/>
      <c r="B18" s="1515"/>
      <c r="C18" s="1515"/>
      <c r="D18" s="843" t="s">
        <v>251</v>
      </c>
      <c r="E18" s="1515"/>
      <c r="F18" s="1515"/>
      <c r="G18" s="1536"/>
      <c r="H18" s="872">
        <f>SUM(I18:O18)</f>
        <v>474038</v>
      </c>
      <c r="I18" s="872">
        <f>SUM(I19:I19)</f>
        <v>46631</v>
      </c>
      <c r="J18" s="872">
        <f>SUM(J19:J19)</f>
        <v>427407</v>
      </c>
      <c r="K18" s="872"/>
      <c r="L18" s="872"/>
      <c r="M18" s="851"/>
      <c r="N18" s="851"/>
      <c r="O18" s="873"/>
      <c r="P18" s="842"/>
    </row>
    <row r="19" spans="1:16" s="1082" customFormat="1" ht="15.75" thickBot="1">
      <c r="A19" s="1512"/>
      <c r="B19" s="1515"/>
      <c r="C19" s="1515"/>
      <c r="D19" s="848" t="s">
        <v>195</v>
      </c>
      <c r="E19" s="1515"/>
      <c r="F19" s="1515"/>
      <c r="G19" s="1536"/>
      <c r="H19" s="899">
        <f>SUM(I19:O19)</f>
        <v>474038</v>
      </c>
      <c r="I19" s="878">
        <v>46631</v>
      </c>
      <c r="J19" s="879">
        <v>427407</v>
      </c>
      <c r="K19" s="880"/>
      <c r="L19" s="880"/>
      <c r="M19" s="880"/>
      <c r="N19" s="880"/>
      <c r="O19" s="881"/>
      <c r="P19" s="882"/>
    </row>
    <row r="20" spans="1:16" s="1082" customFormat="1" ht="34.5" customHeight="1">
      <c r="A20" s="1565">
        <v>4</v>
      </c>
      <c r="B20" s="1566">
        <v>600</v>
      </c>
      <c r="C20" s="1589">
        <v>60016</v>
      </c>
      <c r="D20" s="837" t="s">
        <v>555</v>
      </c>
      <c r="E20" s="1566">
        <v>2008</v>
      </c>
      <c r="F20" s="1566">
        <v>2012</v>
      </c>
      <c r="G20" s="1566" t="s">
        <v>247</v>
      </c>
      <c r="H20" s="874"/>
      <c r="I20" s="875"/>
      <c r="J20" s="850"/>
      <c r="K20" s="851"/>
      <c r="L20" s="851"/>
      <c r="M20" s="851"/>
      <c r="N20" s="851"/>
      <c r="O20" s="873"/>
      <c r="P20" s="876"/>
    </row>
    <row r="21" spans="1:16" s="1082" customFormat="1" ht="15.75">
      <c r="A21" s="1512"/>
      <c r="B21" s="1515"/>
      <c r="C21" s="1584"/>
      <c r="D21" s="843" t="s">
        <v>251</v>
      </c>
      <c r="E21" s="1515"/>
      <c r="F21" s="1515"/>
      <c r="G21" s="1515"/>
      <c r="H21" s="844">
        <f>SUM(I21:O21)</f>
        <v>7992850</v>
      </c>
      <c r="I21" s="1083">
        <f>SUM(I22:I23)</f>
        <v>112850</v>
      </c>
      <c r="J21" s="1083">
        <f>SUM(J22:J23)</f>
        <v>30000</v>
      </c>
      <c r="K21" s="1083">
        <f>SUM(K22:K23)</f>
        <v>4150000</v>
      </c>
      <c r="L21" s="1083">
        <f>SUM(L22:L23)</f>
        <v>3700000</v>
      </c>
      <c r="M21" s="1083"/>
      <c r="N21" s="851"/>
      <c r="O21" s="873"/>
      <c r="P21" s="876"/>
    </row>
    <row r="22" spans="1:16" s="1082" customFormat="1" ht="15">
      <c r="A22" s="1512"/>
      <c r="B22" s="1515"/>
      <c r="C22" s="1584"/>
      <c r="D22" s="884" t="s">
        <v>195</v>
      </c>
      <c r="E22" s="1515"/>
      <c r="F22" s="1515"/>
      <c r="G22" s="1515"/>
      <c r="H22" s="874">
        <f>SUM(I22:O22)</f>
        <v>4167850</v>
      </c>
      <c r="I22" s="875">
        <v>112850</v>
      </c>
      <c r="J22" s="850">
        <v>30000</v>
      </c>
      <c r="K22" s="851">
        <v>2125000</v>
      </c>
      <c r="L22" s="851">
        <v>1900000</v>
      </c>
      <c r="M22" s="851"/>
      <c r="N22" s="851"/>
      <c r="O22" s="873"/>
      <c r="P22" s="876"/>
    </row>
    <row r="23" spans="1:16" s="1082" customFormat="1" ht="15.75" thickBot="1">
      <c r="A23" s="1522"/>
      <c r="B23" s="1523"/>
      <c r="C23" s="1585"/>
      <c r="D23" s="885" t="s">
        <v>294</v>
      </c>
      <c r="E23" s="1523"/>
      <c r="F23" s="1523"/>
      <c r="G23" s="1523"/>
      <c r="H23" s="874">
        <f>SUM(I23:O23)</f>
        <v>3825000</v>
      </c>
      <c r="I23" s="875"/>
      <c r="J23" s="850"/>
      <c r="K23" s="851">
        <v>2025000</v>
      </c>
      <c r="L23" s="851">
        <v>1800000</v>
      </c>
      <c r="M23" s="851"/>
      <c r="N23" s="851"/>
      <c r="O23" s="873"/>
      <c r="P23" s="882">
        <v>0.5</v>
      </c>
    </row>
    <row r="24" spans="1:16" s="1082" customFormat="1" ht="39.75" customHeight="1">
      <c r="A24" s="1529">
        <v>5</v>
      </c>
      <c r="B24" s="1566">
        <v>600</v>
      </c>
      <c r="C24" s="1566">
        <v>60016</v>
      </c>
      <c r="D24" s="854" t="s">
        <v>556</v>
      </c>
      <c r="E24" s="1566">
        <v>2010</v>
      </c>
      <c r="F24" s="1566">
        <v>2012</v>
      </c>
      <c r="G24" s="1566" t="s">
        <v>247</v>
      </c>
      <c r="H24" s="855"/>
      <c r="I24" s="856"/>
      <c r="J24" s="856"/>
      <c r="K24" s="856"/>
      <c r="L24" s="856"/>
      <c r="M24" s="856"/>
      <c r="N24" s="857"/>
      <c r="O24" s="858"/>
      <c r="P24" s="859"/>
    </row>
    <row r="25" spans="1:16" s="1082" customFormat="1" ht="15.75">
      <c r="A25" s="1590"/>
      <c r="B25" s="1515"/>
      <c r="C25" s="1515"/>
      <c r="D25" s="860" t="s">
        <v>251</v>
      </c>
      <c r="E25" s="1515"/>
      <c r="F25" s="1515"/>
      <c r="G25" s="1515"/>
      <c r="H25" s="844">
        <f>SUM(I25:O25)</f>
        <v>291000</v>
      </c>
      <c r="I25" s="861"/>
      <c r="J25" s="862">
        <f>SUM(J26)</f>
        <v>91000</v>
      </c>
      <c r="K25" s="862">
        <f>SUM(K26)</f>
        <v>100000</v>
      </c>
      <c r="L25" s="862">
        <f>SUM(L26)</f>
        <v>100000</v>
      </c>
      <c r="M25" s="862"/>
      <c r="N25" s="863"/>
      <c r="O25" s="864"/>
      <c r="P25" s="859"/>
    </row>
    <row r="26" spans="1:16" s="1082" customFormat="1" ht="16.5" thickBot="1">
      <c r="A26" s="1591"/>
      <c r="B26" s="1523"/>
      <c r="C26" s="1523"/>
      <c r="D26" s="865" t="s">
        <v>195</v>
      </c>
      <c r="E26" s="1523"/>
      <c r="F26" s="1523"/>
      <c r="G26" s="1523"/>
      <c r="H26" s="866">
        <f>SUM(I26:O26)</f>
        <v>291000</v>
      </c>
      <c r="I26" s="861"/>
      <c r="J26" s="867">
        <v>91000</v>
      </c>
      <c r="K26" s="867">
        <v>100000</v>
      </c>
      <c r="L26" s="867">
        <v>100000</v>
      </c>
      <c r="M26" s="867"/>
      <c r="N26" s="868"/>
      <c r="O26" s="864"/>
      <c r="P26" s="1084"/>
    </row>
    <row r="27" spans="1:16" s="10" customFormat="1" ht="15.75">
      <c r="A27" s="1511">
        <v>6</v>
      </c>
      <c r="B27" s="1514">
        <v>600</v>
      </c>
      <c r="C27" s="1583">
        <v>60016</v>
      </c>
      <c r="D27" s="837" t="s">
        <v>552</v>
      </c>
      <c r="E27" s="1514">
        <v>2009</v>
      </c>
      <c r="F27" s="1514">
        <v>2010</v>
      </c>
      <c r="G27" s="1525" t="s">
        <v>177</v>
      </c>
      <c r="H27" s="883"/>
      <c r="I27" s="870"/>
      <c r="J27" s="839"/>
      <c r="K27" s="839"/>
      <c r="L27" s="840"/>
      <c r="M27" s="840"/>
      <c r="N27" s="840"/>
      <c r="O27" s="841"/>
      <c r="P27" s="842"/>
    </row>
    <row r="28" spans="1:16" s="10" customFormat="1" ht="15.75">
      <c r="A28" s="1512"/>
      <c r="B28" s="1515"/>
      <c r="C28" s="1584"/>
      <c r="D28" s="843" t="s">
        <v>251</v>
      </c>
      <c r="E28" s="1515"/>
      <c r="F28" s="1515"/>
      <c r="G28" s="1536"/>
      <c r="H28" s="844">
        <f>SUM(I28:O28)</f>
        <v>3061000</v>
      </c>
      <c r="I28" s="845">
        <f>SUM(I29:I30)</f>
        <v>61000</v>
      </c>
      <c r="J28" s="845">
        <f>SUM(J29:J30)</f>
        <v>3000000</v>
      </c>
      <c r="K28" s="845"/>
      <c r="L28" s="845"/>
      <c r="M28" s="851"/>
      <c r="N28" s="851"/>
      <c r="O28" s="873"/>
      <c r="P28" s="842"/>
    </row>
    <row r="29" spans="1:16" s="10" customFormat="1" ht="15">
      <c r="A29" s="1512"/>
      <c r="B29" s="1515"/>
      <c r="C29" s="1584"/>
      <c r="D29" s="884" t="s">
        <v>195</v>
      </c>
      <c r="E29" s="1515"/>
      <c r="F29" s="1515"/>
      <c r="G29" s="1536"/>
      <c r="H29" s="874">
        <f>SUM(I29:O29)</f>
        <v>1761000</v>
      </c>
      <c r="I29" s="875">
        <v>61000</v>
      </c>
      <c r="J29" s="850">
        <v>1700000</v>
      </c>
      <c r="K29" s="851"/>
      <c r="L29" s="851"/>
      <c r="M29" s="851"/>
      <c r="N29" s="851"/>
      <c r="O29" s="873"/>
      <c r="P29" s="842"/>
    </row>
    <row r="30" spans="1:16" s="10" customFormat="1" ht="15.75" thickBot="1">
      <c r="A30" s="1522"/>
      <c r="B30" s="1523"/>
      <c r="C30" s="1585"/>
      <c r="D30" s="885" t="s">
        <v>67</v>
      </c>
      <c r="E30" s="1523"/>
      <c r="F30" s="1523"/>
      <c r="G30" s="1562"/>
      <c r="H30" s="874">
        <f>SUM(I30:O30)</f>
        <v>1300000</v>
      </c>
      <c r="I30" s="878"/>
      <c r="J30" s="879">
        <v>1300000</v>
      </c>
      <c r="K30" s="880"/>
      <c r="L30" s="880"/>
      <c r="M30" s="880"/>
      <c r="N30" s="880"/>
      <c r="O30" s="881"/>
      <c r="P30" s="876">
        <v>0.5</v>
      </c>
    </row>
    <row r="31" spans="1:16" s="10" customFormat="1" ht="17.25" customHeight="1" thickBot="1" thickTop="1">
      <c r="A31" s="1520" t="s">
        <v>250</v>
      </c>
      <c r="B31" s="1521"/>
      <c r="C31" s="1521"/>
      <c r="D31" s="1521"/>
      <c r="E31" s="1521"/>
      <c r="F31" s="1521"/>
      <c r="G31" s="1521"/>
      <c r="H31" s="833">
        <f>SUM(I31:O31)</f>
        <v>10325000</v>
      </c>
      <c r="I31" s="886">
        <f>SUM(I33,I37)</f>
        <v>115000</v>
      </c>
      <c r="J31" s="886">
        <f aca="true" t="shared" si="2" ref="J31:O31">SUM(J33,J37)</f>
        <v>850000</v>
      </c>
      <c r="K31" s="886">
        <f t="shared" si="2"/>
        <v>5350000</v>
      </c>
      <c r="L31" s="886">
        <f t="shared" si="2"/>
        <v>4010000</v>
      </c>
      <c r="M31" s="886">
        <f t="shared" si="2"/>
        <v>0</v>
      </c>
      <c r="N31" s="886">
        <f t="shared" si="2"/>
        <v>0</v>
      </c>
      <c r="O31" s="886">
        <f t="shared" si="2"/>
        <v>0</v>
      </c>
      <c r="P31" s="835"/>
    </row>
    <row r="32" spans="1:16" s="10" customFormat="1" ht="36.75" customHeight="1">
      <c r="A32" s="1511">
        <v>7</v>
      </c>
      <c r="B32" s="1514">
        <v>630</v>
      </c>
      <c r="C32" s="1514">
        <v>63003</v>
      </c>
      <c r="D32" s="887" t="s">
        <v>618</v>
      </c>
      <c r="E32" s="1514">
        <v>2009</v>
      </c>
      <c r="F32" s="1514">
        <v>2012</v>
      </c>
      <c r="G32" s="1525" t="s">
        <v>13</v>
      </c>
      <c r="H32" s="838"/>
      <c r="I32" s="870"/>
      <c r="J32" s="839"/>
      <c r="K32" s="839"/>
      <c r="L32" s="839"/>
      <c r="M32" s="840"/>
      <c r="N32" s="840"/>
      <c r="O32" s="841"/>
      <c r="P32" s="871"/>
    </row>
    <row r="33" spans="1:16" s="10" customFormat="1" ht="17.25" customHeight="1">
      <c r="A33" s="1512"/>
      <c r="B33" s="1515"/>
      <c r="C33" s="1515"/>
      <c r="D33" s="843" t="s">
        <v>251</v>
      </c>
      <c r="E33" s="1517"/>
      <c r="F33" s="1517"/>
      <c r="G33" s="1526"/>
      <c r="H33" s="872">
        <f>SUM(I33:O33)</f>
        <v>9050000</v>
      </c>
      <c r="I33" s="888">
        <f>SUM(I34:I35)</f>
        <v>40000</v>
      </c>
      <c r="J33" s="888">
        <f>SUM(J34:J35)</f>
        <v>250000</v>
      </c>
      <c r="K33" s="888">
        <f>SUM(K34:K35)</f>
        <v>4750000</v>
      </c>
      <c r="L33" s="888">
        <f>SUM(L34:L35)</f>
        <v>4010000</v>
      </c>
      <c r="M33" s="888"/>
      <c r="N33" s="888"/>
      <c r="O33" s="847"/>
      <c r="P33" s="842"/>
    </row>
    <row r="34" spans="1:16" s="10" customFormat="1" ht="17.25" customHeight="1">
      <c r="A34" s="1512"/>
      <c r="B34" s="1515"/>
      <c r="C34" s="1515"/>
      <c r="D34" s="884" t="s">
        <v>195</v>
      </c>
      <c r="E34" s="1515"/>
      <c r="F34" s="1515"/>
      <c r="G34" s="1536"/>
      <c r="H34" s="874">
        <f>SUM(I34:O34)</f>
        <v>1400000</v>
      </c>
      <c r="I34" s="889">
        <v>40000</v>
      </c>
      <c r="J34" s="889">
        <v>37500</v>
      </c>
      <c r="K34" s="889">
        <v>712500</v>
      </c>
      <c r="L34" s="889">
        <v>610000</v>
      </c>
      <c r="M34" s="890"/>
      <c r="N34" s="851"/>
      <c r="O34" s="891"/>
      <c r="P34" s="842"/>
    </row>
    <row r="35" spans="1:16" s="10" customFormat="1" ht="17.25" customHeight="1" thickBot="1">
      <c r="A35" s="1522"/>
      <c r="B35" s="1523"/>
      <c r="C35" s="1523"/>
      <c r="D35" s="877" t="s">
        <v>294</v>
      </c>
      <c r="E35" s="1523"/>
      <c r="F35" s="1523"/>
      <c r="G35" s="1562"/>
      <c r="H35" s="899">
        <f>SUM(I35:O35)</f>
        <v>7650000</v>
      </c>
      <c r="I35" s="1085"/>
      <c r="J35" s="1086">
        <v>212500</v>
      </c>
      <c r="K35" s="1086">
        <v>4037500</v>
      </c>
      <c r="L35" s="1086">
        <v>3400000</v>
      </c>
      <c r="M35" s="1087"/>
      <c r="N35" s="880"/>
      <c r="O35" s="898"/>
      <c r="P35" s="882">
        <v>0.85</v>
      </c>
    </row>
    <row r="36" spans="1:16" s="10" customFormat="1" ht="36.75" customHeight="1">
      <c r="A36" s="1572">
        <v>8</v>
      </c>
      <c r="B36" s="1517">
        <v>630</v>
      </c>
      <c r="C36" s="1517">
        <v>63003</v>
      </c>
      <c r="D36" s="913" t="s">
        <v>557</v>
      </c>
      <c r="E36" s="1517">
        <v>2009</v>
      </c>
      <c r="F36" s="1517">
        <v>2011</v>
      </c>
      <c r="G36" s="1581" t="s">
        <v>603</v>
      </c>
      <c r="H36" s="1088"/>
      <c r="I36" s="895"/>
      <c r="J36" s="895"/>
      <c r="K36" s="895"/>
      <c r="L36" s="895"/>
      <c r="M36" s="895"/>
      <c r="N36" s="895"/>
      <c r="O36" s="1089"/>
      <c r="P36" s="951"/>
    </row>
    <row r="37" spans="1:16" s="10" customFormat="1" ht="15.75">
      <c r="A37" s="1512"/>
      <c r="B37" s="1515"/>
      <c r="C37" s="1515"/>
      <c r="D37" s="843" t="s">
        <v>251</v>
      </c>
      <c r="E37" s="1517"/>
      <c r="F37" s="1517"/>
      <c r="G37" s="1581"/>
      <c r="H37" s="872">
        <f>SUM(H38:H39)</f>
        <v>1275000</v>
      </c>
      <c r="I37" s="872">
        <f>SUM(I38:I39)</f>
        <v>75000</v>
      </c>
      <c r="J37" s="872">
        <f>SUM(J38:J39)</f>
        <v>600000</v>
      </c>
      <c r="K37" s="872">
        <f>SUM(K38:K39)</f>
        <v>600000</v>
      </c>
      <c r="L37" s="949"/>
      <c r="M37" s="949"/>
      <c r="N37" s="949"/>
      <c r="O37" s="950"/>
      <c r="P37" s="951"/>
    </row>
    <row r="38" spans="1:16" s="10" customFormat="1" ht="15">
      <c r="A38" s="1512"/>
      <c r="B38" s="1515"/>
      <c r="C38" s="1515"/>
      <c r="D38" s="884" t="s">
        <v>195</v>
      </c>
      <c r="E38" s="1517"/>
      <c r="F38" s="1517"/>
      <c r="G38" s="1581"/>
      <c r="H38" s="909">
        <f>SUM(I38:O38)</f>
        <v>675000</v>
      </c>
      <c r="I38" s="850">
        <v>75000</v>
      </c>
      <c r="J38" s="850">
        <v>300000</v>
      </c>
      <c r="K38" s="850">
        <v>300000</v>
      </c>
      <c r="L38" s="949"/>
      <c r="M38" s="949"/>
      <c r="N38" s="949"/>
      <c r="O38" s="950"/>
      <c r="P38" s="951"/>
    </row>
    <row r="39" spans="1:16" s="10" customFormat="1" ht="15.75" thickBot="1">
      <c r="A39" s="1513"/>
      <c r="B39" s="1516"/>
      <c r="C39" s="1516"/>
      <c r="D39" s="943" t="s">
        <v>294</v>
      </c>
      <c r="E39" s="1518"/>
      <c r="F39" s="1518"/>
      <c r="G39" s="1582"/>
      <c r="H39" s="944">
        <f>SUM(I39:O39)</f>
        <v>600000</v>
      </c>
      <c r="I39" s="952"/>
      <c r="J39" s="952">
        <v>300000</v>
      </c>
      <c r="K39" s="952">
        <v>300000</v>
      </c>
      <c r="L39" s="952"/>
      <c r="M39" s="952"/>
      <c r="N39" s="952"/>
      <c r="O39" s="953"/>
      <c r="P39" s="954">
        <v>0.5</v>
      </c>
    </row>
    <row r="40" spans="1:16" s="1082" customFormat="1" ht="17.25" customHeight="1" thickBot="1" thickTop="1">
      <c r="A40" s="1520" t="s">
        <v>11</v>
      </c>
      <c r="B40" s="1521"/>
      <c r="C40" s="1521"/>
      <c r="D40" s="1521"/>
      <c r="E40" s="1521"/>
      <c r="F40" s="1521"/>
      <c r="G40" s="1521"/>
      <c r="H40" s="833">
        <f>SUM(I40:O40)</f>
        <v>47521852</v>
      </c>
      <c r="I40" s="892">
        <f>SUM(I42,I45)</f>
        <v>11261852</v>
      </c>
      <c r="J40" s="892">
        <f aca="true" t="shared" si="3" ref="J40:O40">SUM(J42,J45)</f>
        <v>10260000</v>
      </c>
      <c r="K40" s="892">
        <f t="shared" si="3"/>
        <v>8500000</v>
      </c>
      <c r="L40" s="892">
        <f t="shared" si="3"/>
        <v>8500000</v>
      </c>
      <c r="M40" s="892">
        <f t="shared" si="3"/>
        <v>9000000</v>
      </c>
      <c r="N40" s="892">
        <v>0</v>
      </c>
      <c r="O40" s="892">
        <f t="shared" si="3"/>
        <v>0</v>
      </c>
      <c r="P40" s="853"/>
    </row>
    <row r="41" spans="1:16" s="1082" customFormat="1" ht="31.5">
      <c r="A41" s="1511">
        <v>9</v>
      </c>
      <c r="B41" s="1514">
        <v>700</v>
      </c>
      <c r="C41" s="1514">
        <v>70095</v>
      </c>
      <c r="D41" s="837" t="s">
        <v>558</v>
      </c>
      <c r="E41" s="1514">
        <v>2004</v>
      </c>
      <c r="F41" s="1514">
        <v>2013</v>
      </c>
      <c r="G41" s="1525" t="s">
        <v>177</v>
      </c>
      <c r="H41" s="883"/>
      <c r="I41" s="870"/>
      <c r="J41" s="839"/>
      <c r="K41" s="839"/>
      <c r="L41" s="839"/>
      <c r="M41" s="839"/>
      <c r="N41" s="839"/>
      <c r="O41" s="893"/>
      <c r="P41" s="894"/>
    </row>
    <row r="42" spans="1:16" s="1082" customFormat="1" ht="15.75">
      <c r="A42" s="1512"/>
      <c r="B42" s="1515"/>
      <c r="C42" s="1515"/>
      <c r="D42" s="843" t="s">
        <v>251</v>
      </c>
      <c r="E42" s="1517"/>
      <c r="F42" s="1517"/>
      <c r="G42" s="1526"/>
      <c r="H42" s="872">
        <f>SUM(I42:O42)</f>
        <v>42708953</v>
      </c>
      <c r="I42" s="845">
        <f>SUM(I43)</f>
        <v>9208953</v>
      </c>
      <c r="J42" s="845">
        <f>SUM(J43)</f>
        <v>7500000</v>
      </c>
      <c r="K42" s="845">
        <f>SUM(K43)</f>
        <v>8500000</v>
      </c>
      <c r="L42" s="845">
        <f>SUM(L43)</f>
        <v>8500000</v>
      </c>
      <c r="M42" s="845">
        <f>SUM(M43)</f>
        <v>9000000</v>
      </c>
      <c r="N42" s="845"/>
      <c r="O42" s="845"/>
      <c r="P42" s="894"/>
    </row>
    <row r="43" spans="1:16" s="1082" customFormat="1" ht="16.5" thickBot="1">
      <c r="A43" s="1522"/>
      <c r="B43" s="1523"/>
      <c r="C43" s="1523"/>
      <c r="D43" s="848" t="s">
        <v>195</v>
      </c>
      <c r="E43" s="1515"/>
      <c r="F43" s="1515"/>
      <c r="G43" s="1536"/>
      <c r="H43" s="874">
        <f>SUM(I43:O43)</f>
        <v>42708953</v>
      </c>
      <c r="I43" s="850">
        <v>9208953</v>
      </c>
      <c r="J43" s="850">
        <v>7500000</v>
      </c>
      <c r="K43" s="850">
        <v>8500000</v>
      </c>
      <c r="L43" s="850">
        <v>8500000</v>
      </c>
      <c r="M43" s="850">
        <v>9000000</v>
      </c>
      <c r="N43" s="850"/>
      <c r="O43" s="875"/>
      <c r="P43" s="894"/>
    </row>
    <row r="44" spans="1:16" s="1082" customFormat="1" ht="31.5">
      <c r="A44" s="1511">
        <v>10</v>
      </c>
      <c r="B44" s="1514">
        <v>700</v>
      </c>
      <c r="C44" s="1514">
        <v>70095</v>
      </c>
      <c r="D44" s="837" t="s">
        <v>35</v>
      </c>
      <c r="E44" s="1514">
        <v>2008</v>
      </c>
      <c r="F44" s="1514">
        <v>2010</v>
      </c>
      <c r="G44" s="1525" t="s">
        <v>177</v>
      </c>
      <c r="H44" s="883"/>
      <c r="I44" s="839"/>
      <c r="J44" s="839"/>
      <c r="K44" s="839"/>
      <c r="L44" s="839"/>
      <c r="M44" s="839"/>
      <c r="N44" s="839"/>
      <c r="O44" s="870"/>
      <c r="P44" s="1575" t="s">
        <v>536</v>
      </c>
    </row>
    <row r="45" spans="1:16" s="1082" customFormat="1" ht="15.75">
      <c r="A45" s="1512"/>
      <c r="B45" s="1515"/>
      <c r="C45" s="1515"/>
      <c r="D45" s="843" t="s">
        <v>251</v>
      </c>
      <c r="E45" s="1517"/>
      <c r="F45" s="1517"/>
      <c r="G45" s="1526"/>
      <c r="H45" s="872">
        <f>SUM(I45:O45)</f>
        <v>4812899</v>
      </c>
      <c r="I45" s="872">
        <f>SUM(I46:I47)</f>
        <v>2052899</v>
      </c>
      <c r="J45" s="872">
        <f>SUM(J46:J47)</f>
        <v>2760000</v>
      </c>
      <c r="K45" s="872"/>
      <c r="L45" s="872"/>
      <c r="M45" s="895"/>
      <c r="N45" s="895"/>
      <c r="O45" s="896"/>
      <c r="P45" s="1576"/>
    </row>
    <row r="46" spans="1:16" s="1082" customFormat="1" ht="15.75">
      <c r="A46" s="1512"/>
      <c r="B46" s="1515"/>
      <c r="C46" s="1515"/>
      <c r="D46" s="884" t="s">
        <v>195</v>
      </c>
      <c r="E46" s="1517"/>
      <c r="F46" s="1517"/>
      <c r="G46" s="1526"/>
      <c r="H46" s="909">
        <f>SUM(I46:O46)</f>
        <v>3861684</v>
      </c>
      <c r="I46" s="850">
        <v>1653667</v>
      </c>
      <c r="J46" s="850">
        <v>2208017</v>
      </c>
      <c r="K46" s="850"/>
      <c r="L46" s="872"/>
      <c r="M46" s="895"/>
      <c r="N46" s="895"/>
      <c r="O46" s="896"/>
      <c r="P46" s="1576"/>
    </row>
    <row r="47" spans="1:16" s="1082" customFormat="1" ht="17.25" customHeight="1" thickBot="1">
      <c r="A47" s="1522"/>
      <c r="B47" s="1523"/>
      <c r="C47" s="1523"/>
      <c r="D47" s="877" t="s">
        <v>67</v>
      </c>
      <c r="E47" s="1523"/>
      <c r="F47" s="1523"/>
      <c r="G47" s="1562"/>
      <c r="H47" s="926">
        <f>SUM(I47:O47)</f>
        <v>951215</v>
      </c>
      <c r="I47" s="879">
        <v>399232</v>
      </c>
      <c r="J47" s="879">
        <v>551983</v>
      </c>
      <c r="K47" s="879"/>
      <c r="L47" s="879"/>
      <c r="M47" s="900"/>
      <c r="N47" s="900"/>
      <c r="O47" s="1090"/>
      <c r="P47" s="1577"/>
    </row>
    <row r="48" spans="1:16" s="1082" customFormat="1" ht="18" customHeight="1">
      <c r="A48" s="1557" t="s">
        <v>118</v>
      </c>
      <c r="B48" s="1544" t="s">
        <v>440</v>
      </c>
      <c r="C48" s="1544" t="s">
        <v>175</v>
      </c>
      <c r="D48" s="1544" t="s">
        <v>0</v>
      </c>
      <c r="E48" s="1567" t="s">
        <v>234</v>
      </c>
      <c r="F48" s="1580"/>
      <c r="G48" s="1544" t="s">
        <v>176</v>
      </c>
      <c r="H48" s="1567" t="s">
        <v>238</v>
      </c>
      <c r="I48" s="1547" t="s">
        <v>1</v>
      </c>
      <c r="J48" s="1569"/>
      <c r="K48" s="1569"/>
      <c r="L48" s="1569"/>
      <c r="M48" s="1569"/>
      <c r="N48" s="1569"/>
      <c r="O48" s="1569"/>
      <c r="P48" s="1550" t="s">
        <v>248</v>
      </c>
    </row>
    <row r="49" spans="1:16" s="1082" customFormat="1" ht="16.5" customHeight="1">
      <c r="A49" s="1558"/>
      <c r="B49" s="1545"/>
      <c r="C49" s="1545"/>
      <c r="D49" s="1545"/>
      <c r="E49" s="1560"/>
      <c r="F49" s="1561"/>
      <c r="G49" s="1545"/>
      <c r="H49" s="1545"/>
      <c r="I49" s="1545" t="s">
        <v>532</v>
      </c>
      <c r="J49" s="1545" t="s">
        <v>533</v>
      </c>
      <c r="K49" s="1560" t="s">
        <v>249</v>
      </c>
      <c r="L49" s="1571"/>
      <c r="M49" s="1571"/>
      <c r="N49" s="1571"/>
      <c r="O49" s="1571"/>
      <c r="P49" s="1551"/>
    </row>
    <row r="50" spans="1:16" s="1082" customFormat="1" ht="33" customHeight="1" thickBot="1">
      <c r="A50" s="1559"/>
      <c r="B50" s="1546"/>
      <c r="C50" s="1546"/>
      <c r="D50" s="1546"/>
      <c r="E50" s="901" t="s">
        <v>2</v>
      </c>
      <c r="F50" s="901" t="s">
        <v>3</v>
      </c>
      <c r="G50" s="1546"/>
      <c r="H50" s="1568"/>
      <c r="I50" s="1568"/>
      <c r="J50" s="1568"/>
      <c r="K50" s="902">
        <v>2011</v>
      </c>
      <c r="L50" s="903">
        <v>2012</v>
      </c>
      <c r="M50" s="903">
        <v>2013</v>
      </c>
      <c r="N50" s="903">
        <v>2014</v>
      </c>
      <c r="O50" s="904" t="s">
        <v>534</v>
      </c>
      <c r="P50" s="1570"/>
    </row>
    <row r="51" spans="1:16" s="1082" customFormat="1" ht="15" customHeight="1" thickBot="1">
      <c r="A51" s="827">
        <v>1</v>
      </c>
      <c r="B51" s="828">
        <v>2</v>
      </c>
      <c r="C51" s="828">
        <v>3</v>
      </c>
      <c r="D51" s="828">
        <v>4</v>
      </c>
      <c r="E51" s="829">
        <v>5</v>
      </c>
      <c r="F51" s="829">
        <v>6</v>
      </c>
      <c r="G51" s="829">
        <v>7</v>
      </c>
      <c r="H51" s="830">
        <v>8</v>
      </c>
      <c r="I51" s="829">
        <v>9</v>
      </c>
      <c r="J51" s="828">
        <v>10</v>
      </c>
      <c r="K51" s="828">
        <v>11</v>
      </c>
      <c r="L51" s="828">
        <v>12</v>
      </c>
      <c r="M51" s="828">
        <v>13</v>
      </c>
      <c r="N51" s="828">
        <v>14</v>
      </c>
      <c r="O51" s="831">
        <v>15</v>
      </c>
      <c r="P51" s="832">
        <v>16</v>
      </c>
    </row>
    <row r="52" spans="1:16" s="1082" customFormat="1" ht="15" customHeight="1" thickBot="1" thickTop="1">
      <c r="A52" s="1520" t="s">
        <v>446</v>
      </c>
      <c r="B52" s="1578"/>
      <c r="C52" s="1578"/>
      <c r="D52" s="1578"/>
      <c r="E52" s="1578"/>
      <c r="F52" s="1578"/>
      <c r="G52" s="1579"/>
      <c r="H52" s="833">
        <f>SUM(I52:O52)</f>
        <v>1358122</v>
      </c>
      <c r="I52" s="834">
        <f>SUM(I54)</f>
        <v>9771</v>
      </c>
      <c r="J52" s="834">
        <f>SUM(J54)</f>
        <v>1348351</v>
      </c>
      <c r="K52" s="834">
        <f>SUM(K54)</f>
        <v>0</v>
      </c>
      <c r="L52" s="834">
        <f>SUM(L54,L66)</f>
        <v>0</v>
      </c>
      <c r="M52" s="834">
        <f>SUM(M54,M66)</f>
        <v>0</v>
      </c>
      <c r="N52" s="834">
        <f>SUM(N54,N66)</f>
        <v>0</v>
      </c>
      <c r="O52" s="834">
        <f>SUM(O54,O66)</f>
        <v>0</v>
      </c>
      <c r="P52" s="835"/>
    </row>
    <row r="53" spans="1:16" s="1082" customFormat="1" ht="20.25" customHeight="1">
      <c r="A53" s="1511">
        <v>11</v>
      </c>
      <c r="B53" s="1514">
        <v>750</v>
      </c>
      <c r="C53" s="1514">
        <v>75023</v>
      </c>
      <c r="D53" s="1091" t="s">
        <v>531</v>
      </c>
      <c r="E53" s="1514">
        <v>2008</v>
      </c>
      <c r="F53" s="1514">
        <v>2010</v>
      </c>
      <c r="G53" s="1525" t="s">
        <v>621</v>
      </c>
      <c r="H53" s="836"/>
      <c r="I53" s="870"/>
      <c r="J53" s="839"/>
      <c r="K53" s="839"/>
      <c r="L53" s="839"/>
      <c r="M53" s="840"/>
      <c r="N53" s="840"/>
      <c r="O53" s="841"/>
      <c r="P53" s="842"/>
    </row>
    <row r="54" spans="1:16" s="1082" customFormat="1" ht="18" customHeight="1">
      <c r="A54" s="1512"/>
      <c r="B54" s="1515"/>
      <c r="C54" s="1515"/>
      <c r="D54" s="843" t="s">
        <v>251</v>
      </c>
      <c r="E54" s="1517"/>
      <c r="F54" s="1517"/>
      <c r="G54" s="1526"/>
      <c r="H54" s="906">
        <f>SUM(I54:O54)</f>
        <v>1358122</v>
      </c>
      <c r="I54" s="1083">
        <f>SUM(I55:I56)</f>
        <v>9771</v>
      </c>
      <c r="J54" s="1083">
        <f>SUM(J55:J56)</f>
        <v>1348351</v>
      </c>
      <c r="K54" s="1083"/>
      <c r="L54" s="1083"/>
      <c r="M54" s="846"/>
      <c r="N54" s="846"/>
      <c r="O54" s="847"/>
      <c r="P54" s="842"/>
    </row>
    <row r="55" spans="1:16" s="1082" customFormat="1" ht="15">
      <c r="A55" s="1512"/>
      <c r="B55" s="1515"/>
      <c r="C55" s="1515"/>
      <c r="D55" s="884" t="s">
        <v>195</v>
      </c>
      <c r="E55" s="1517"/>
      <c r="F55" s="1517"/>
      <c r="G55" s="1526"/>
      <c r="H55" s="850">
        <f>SUM(I55:O55)</f>
        <v>203719</v>
      </c>
      <c r="I55" s="850">
        <v>1466</v>
      </c>
      <c r="J55" s="850">
        <v>202253</v>
      </c>
      <c r="K55" s="850"/>
      <c r="L55" s="850"/>
      <c r="M55" s="846"/>
      <c r="N55" s="846"/>
      <c r="O55" s="847"/>
      <c r="P55" s="842"/>
    </row>
    <row r="56" spans="1:16" s="1082" customFormat="1" ht="15" customHeight="1" thickBot="1">
      <c r="A56" s="1522"/>
      <c r="B56" s="1523"/>
      <c r="C56" s="1523"/>
      <c r="D56" s="877" t="s">
        <v>294</v>
      </c>
      <c r="E56" s="1524"/>
      <c r="F56" s="1524"/>
      <c r="G56" s="1574"/>
      <c r="H56" s="850">
        <f>SUM(I56:O56)</f>
        <v>1154403</v>
      </c>
      <c r="I56" s="879">
        <v>8305</v>
      </c>
      <c r="J56" s="879">
        <v>1146098</v>
      </c>
      <c r="K56" s="879"/>
      <c r="L56" s="879"/>
      <c r="M56" s="897"/>
      <c r="N56" s="897"/>
      <c r="O56" s="898"/>
      <c r="P56" s="876">
        <v>0.85</v>
      </c>
    </row>
    <row r="57" spans="1:16" s="10" customFormat="1" ht="17.25" customHeight="1" thickBot="1" thickTop="1">
      <c r="A57" s="1520" t="s">
        <v>448</v>
      </c>
      <c r="B57" s="1578"/>
      <c r="C57" s="1578"/>
      <c r="D57" s="1578"/>
      <c r="E57" s="1578"/>
      <c r="F57" s="1578"/>
      <c r="G57" s="1579"/>
      <c r="H57" s="833">
        <f>SUM(I57:O57)</f>
        <v>4837706</v>
      </c>
      <c r="I57" s="834">
        <f aca="true" t="shared" si="4" ref="I57:O57">SUM(I59,I63,I67)</f>
        <v>37706</v>
      </c>
      <c r="J57" s="834">
        <f t="shared" si="4"/>
        <v>3000000</v>
      </c>
      <c r="K57" s="834">
        <f t="shared" si="4"/>
        <v>1800000</v>
      </c>
      <c r="L57" s="834">
        <f t="shared" si="4"/>
        <v>0</v>
      </c>
      <c r="M57" s="834">
        <f t="shared" si="4"/>
        <v>0</v>
      </c>
      <c r="N57" s="834">
        <f t="shared" si="4"/>
        <v>0</v>
      </c>
      <c r="O57" s="834">
        <f t="shared" si="4"/>
        <v>0</v>
      </c>
      <c r="P57" s="835"/>
    </row>
    <row r="58" spans="1:16" s="10" customFormat="1" ht="17.25" customHeight="1">
      <c r="A58" s="1511">
        <v>12</v>
      </c>
      <c r="B58" s="1514">
        <v>754</v>
      </c>
      <c r="C58" s="1514">
        <v>75412</v>
      </c>
      <c r="D58" s="837" t="s">
        <v>12</v>
      </c>
      <c r="E58" s="1514">
        <v>2004</v>
      </c>
      <c r="F58" s="1514">
        <v>2010</v>
      </c>
      <c r="G58" s="1525" t="s">
        <v>13</v>
      </c>
      <c r="H58" s="883"/>
      <c r="I58" s="870"/>
      <c r="J58" s="839"/>
      <c r="K58" s="839"/>
      <c r="L58" s="839"/>
      <c r="M58" s="840"/>
      <c r="N58" s="840"/>
      <c r="O58" s="841"/>
      <c r="P58" s="871"/>
    </row>
    <row r="59" spans="1:16" s="10" customFormat="1" ht="17.25" customHeight="1">
      <c r="A59" s="1512"/>
      <c r="B59" s="1515"/>
      <c r="C59" s="1515"/>
      <c r="D59" s="843" t="s">
        <v>251</v>
      </c>
      <c r="E59" s="1517"/>
      <c r="F59" s="1517"/>
      <c r="G59" s="1526"/>
      <c r="H59" s="872">
        <f>SUM(H60:H61)</f>
        <v>1237706</v>
      </c>
      <c r="I59" s="872">
        <f>SUM(I60:I61)</f>
        <v>37706</v>
      </c>
      <c r="J59" s="872">
        <f>SUM(J60:J61)</f>
        <v>1200000</v>
      </c>
      <c r="K59" s="872"/>
      <c r="L59" s="895"/>
      <c r="M59" s="846"/>
      <c r="N59" s="846"/>
      <c r="O59" s="847"/>
      <c r="P59" s="842"/>
    </row>
    <row r="60" spans="1:16" s="10" customFormat="1" ht="17.25" customHeight="1">
      <c r="A60" s="1512"/>
      <c r="B60" s="1515"/>
      <c r="C60" s="1515"/>
      <c r="D60" s="884" t="s">
        <v>195</v>
      </c>
      <c r="E60" s="1517"/>
      <c r="F60" s="1517"/>
      <c r="G60" s="1526"/>
      <c r="H60" s="874">
        <f>SUM(I60:O60)</f>
        <v>718706</v>
      </c>
      <c r="I60" s="875">
        <v>37706</v>
      </c>
      <c r="J60" s="875">
        <v>681000</v>
      </c>
      <c r="K60" s="875"/>
      <c r="L60" s="895"/>
      <c r="M60" s="846"/>
      <c r="N60" s="846"/>
      <c r="O60" s="847"/>
      <c r="P60" s="842"/>
    </row>
    <row r="61" spans="1:16" s="817" customFormat="1" ht="17.25" customHeight="1" thickBot="1">
      <c r="A61" s="1522"/>
      <c r="B61" s="1523"/>
      <c r="C61" s="1523"/>
      <c r="D61" s="877" t="s">
        <v>294</v>
      </c>
      <c r="E61" s="1524"/>
      <c r="F61" s="1524"/>
      <c r="G61" s="1574"/>
      <c r="H61" s="879">
        <f>SUM(I61:O61)</f>
        <v>519000</v>
      </c>
      <c r="I61" s="878"/>
      <c r="J61" s="879">
        <v>519000</v>
      </c>
      <c r="K61" s="879"/>
      <c r="L61" s="900"/>
      <c r="M61" s="897"/>
      <c r="N61" s="897"/>
      <c r="O61" s="898"/>
      <c r="P61" s="882">
        <v>0.5</v>
      </c>
    </row>
    <row r="62" spans="1:16" s="10" customFormat="1" ht="34.5" customHeight="1">
      <c r="A62" s="1511">
        <v>13</v>
      </c>
      <c r="B62" s="1514">
        <v>754</v>
      </c>
      <c r="C62" s="1514">
        <v>75412</v>
      </c>
      <c r="D62" s="1092" t="s">
        <v>518</v>
      </c>
      <c r="E62" s="1514">
        <v>2010</v>
      </c>
      <c r="F62" s="1514">
        <v>2011</v>
      </c>
      <c r="G62" s="1525" t="s">
        <v>34</v>
      </c>
      <c r="H62" s="883"/>
      <c r="I62" s="870"/>
      <c r="J62" s="839"/>
      <c r="K62" s="839"/>
      <c r="L62" s="839"/>
      <c r="M62" s="840"/>
      <c r="N62" s="840"/>
      <c r="O62" s="841"/>
      <c r="P62" s="871"/>
    </row>
    <row r="63" spans="1:16" s="10" customFormat="1" ht="17.25" customHeight="1">
      <c r="A63" s="1512"/>
      <c r="B63" s="1515"/>
      <c r="C63" s="1515"/>
      <c r="D63" s="843" t="s">
        <v>251</v>
      </c>
      <c r="E63" s="1517"/>
      <c r="F63" s="1517"/>
      <c r="G63" s="1526"/>
      <c r="H63" s="872">
        <f>SUM(H64:H65)</f>
        <v>3000000</v>
      </c>
      <c r="I63" s="872"/>
      <c r="J63" s="872">
        <f>SUM(J64:J65)</f>
        <v>1500000</v>
      </c>
      <c r="K63" s="872">
        <f>SUM(K64:K65)</f>
        <v>1500000</v>
      </c>
      <c r="L63" s="895"/>
      <c r="M63" s="846"/>
      <c r="N63" s="846"/>
      <c r="O63" s="847"/>
      <c r="P63" s="842"/>
    </row>
    <row r="64" spans="1:16" s="10" customFormat="1" ht="17.25" customHeight="1">
      <c r="A64" s="1512"/>
      <c r="B64" s="1515"/>
      <c r="C64" s="1515"/>
      <c r="D64" s="884" t="s">
        <v>195</v>
      </c>
      <c r="E64" s="1517"/>
      <c r="F64" s="1517"/>
      <c r="G64" s="1526"/>
      <c r="H64" s="874">
        <f>SUM(I64:O64)</f>
        <v>450000</v>
      </c>
      <c r="I64" s="875"/>
      <c r="J64" s="875">
        <v>225000</v>
      </c>
      <c r="K64" s="875">
        <v>225000</v>
      </c>
      <c r="L64" s="895"/>
      <c r="M64" s="846"/>
      <c r="N64" s="846"/>
      <c r="O64" s="847"/>
      <c r="P64" s="842"/>
    </row>
    <row r="65" spans="1:16" s="10" customFormat="1" ht="17.25" customHeight="1" thickBot="1">
      <c r="A65" s="1522"/>
      <c r="B65" s="1523"/>
      <c r="C65" s="1523"/>
      <c r="D65" s="877" t="s">
        <v>294</v>
      </c>
      <c r="E65" s="1524"/>
      <c r="F65" s="1524"/>
      <c r="G65" s="1574"/>
      <c r="H65" s="899">
        <f>SUM(I65:O65)</f>
        <v>2550000</v>
      </c>
      <c r="I65" s="878"/>
      <c r="J65" s="879">
        <v>1275000</v>
      </c>
      <c r="K65" s="879">
        <v>1275000</v>
      </c>
      <c r="L65" s="900"/>
      <c r="M65" s="897"/>
      <c r="N65" s="897"/>
      <c r="O65" s="898"/>
      <c r="P65" s="882">
        <v>0.85</v>
      </c>
    </row>
    <row r="66" spans="1:16" s="10" customFormat="1" ht="15.75">
      <c r="A66" s="1511">
        <v>14</v>
      </c>
      <c r="B66" s="1514">
        <v>754</v>
      </c>
      <c r="C66" s="1514">
        <v>75412</v>
      </c>
      <c r="D66" s="1093" t="s">
        <v>520</v>
      </c>
      <c r="E66" s="1514">
        <v>2010</v>
      </c>
      <c r="F66" s="1514">
        <v>2011</v>
      </c>
      <c r="G66" s="1525" t="s">
        <v>34</v>
      </c>
      <c r="H66" s="883"/>
      <c r="I66" s="870"/>
      <c r="J66" s="839"/>
      <c r="K66" s="839"/>
      <c r="L66" s="839"/>
      <c r="M66" s="840"/>
      <c r="N66" s="840"/>
      <c r="O66" s="841"/>
      <c r="P66" s="871"/>
    </row>
    <row r="67" spans="1:16" s="10" customFormat="1" ht="15.75">
      <c r="A67" s="1512"/>
      <c r="B67" s="1515"/>
      <c r="C67" s="1515"/>
      <c r="D67" s="843" t="s">
        <v>251</v>
      </c>
      <c r="E67" s="1517"/>
      <c r="F67" s="1517"/>
      <c r="G67" s="1526"/>
      <c r="H67" s="872">
        <f>SUM(H68:H69)</f>
        <v>600000</v>
      </c>
      <c r="I67" s="872"/>
      <c r="J67" s="872">
        <f>SUM(J68:J69)</f>
        <v>300000</v>
      </c>
      <c r="K67" s="872">
        <f>SUM(K68:K69)</f>
        <v>300000</v>
      </c>
      <c r="L67" s="895"/>
      <c r="M67" s="846"/>
      <c r="N67" s="846"/>
      <c r="O67" s="847"/>
      <c r="P67" s="842"/>
    </row>
    <row r="68" spans="1:16" s="10" customFormat="1" ht="15">
      <c r="A68" s="1512"/>
      <c r="B68" s="1515"/>
      <c r="C68" s="1515"/>
      <c r="D68" s="884" t="s">
        <v>195</v>
      </c>
      <c r="E68" s="1517"/>
      <c r="F68" s="1517"/>
      <c r="G68" s="1526"/>
      <c r="H68" s="874">
        <f>SUM(I68:O68)</f>
        <v>90000</v>
      </c>
      <c r="I68" s="875"/>
      <c r="J68" s="875">
        <v>45000</v>
      </c>
      <c r="K68" s="875">
        <v>45000</v>
      </c>
      <c r="L68" s="895"/>
      <c r="M68" s="846"/>
      <c r="N68" s="846"/>
      <c r="O68" s="847"/>
      <c r="P68" s="842"/>
    </row>
    <row r="69" spans="1:16" s="10" customFormat="1" ht="15.75" thickBot="1">
      <c r="A69" s="1522"/>
      <c r="B69" s="1523"/>
      <c r="C69" s="1523"/>
      <c r="D69" s="877" t="s">
        <v>294</v>
      </c>
      <c r="E69" s="1524"/>
      <c r="F69" s="1524"/>
      <c r="G69" s="1574"/>
      <c r="H69" s="899">
        <f>SUM(I69:O69)</f>
        <v>510000</v>
      </c>
      <c r="I69" s="878"/>
      <c r="J69" s="879">
        <v>255000</v>
      </c>
      <c r="K69" s="879">
        <v>255000</v>
      </c>
      <c r="L69" s="900"/>
      <c r="M69" s="897"/>
      <c r="N69" s="897"/>
      <c r="O69" s="898"/>
      <c r="P69" s="882">
        <v>0.85</v>
      </c>
    </row>
    <row r="70" spans="1:16" s="10" customFormat="1" ht="17.25" thickBot="1" thickTop="1">
      <c r="A70" s="1520" t="s">
        <v>451</v>
      </c>
      <c r="B70" s="1521"/>
      <c r="C70" s="1521"/>
      <c r="D70" s="1521"/>
      <c r="E70" s="1521"/>
      <c r="F70" s="1521"/>
      <c r="G70" s="1521"/>
      <c r="H70" s="833">
        <f>SUM(I70:O70)</f>
        <v>1315000</v>
      </c>
      <c r="I70" s="892">
        <f>SUM(I72,I75)</f>
        <v>65000</v>
      </c>
      <c r="J70" s="892">
        <f aca="true" t="shared" si="5" ref="J70:O70">SUM(J72,J75)</f>
        <v>1250000</v>
      </c>
      <c r="K70" s="892">
        <f t="shared" si="5"/>
        <v>0</v>
      </c>
      <c r="L70" s="892">
        <f t="shared" si="5"/>
        <v>0</v>
      </c>
      <c r="M70" s="892">
        <f t="shared" si="5"/>
        <v>0</v>
      </c>
      <c r="N70" s="892">
        <f t="shared" si="5"/>
        <v>0</v>
      </c>
      <c r="O70" s="892">
        <f t="shared" si="5"/>
        <v>0</v>
      </c>
      <c r="P70" s="853"/>
    </row>
    <row r="71" spans="1:16" s="10" customFormat="1" ht="15.75">
      <c r="A71" s="1511">
        <v>15</v>
      </c>
      <c r="B71" s="1514">
        <v>801</v>
      </c>
      <c r="C71" s="1514">
        <v>80104</v>
      </c>
      <c r="D71" s="837" t="s">
        <v>537</v>
      </c>
      <c r="E71" s="1514">
        <v>2008</v>
      </c>
      <c r="F71" s="1514">
        <v>2010</v>
      </c>
      <c r="G71" s="1525" t="s">
        <v>177</v>
      </c>
      <c r="H71" s="883"/>
      <c r="I71" s="870"/>
      <c r="J71" s="839"/>
      <c r="K71" s="839"/>
      <c r="L71" s="839"/>
      <c r="M71" s="839"/>
      <c r="N71" s="839"/>
      <c r="O71" s="893"/>
      <c r="P71" s="894"/>
    </row>
    <row r="72" spans="1:16" s="10" customFormat="1" ht="15.75">
      <c r="A72" s="1512"/>
      <c r="B72" s="1515"/>
      <c r="C72" s="1515"/>
      <c r="D72" s="843" t="s">
        <v>251</v>
      </c>
      <c r="E72" s="1517"/>
      <c r="F72" s="1517"/>
      <c r="G72" s="1526"/>
      <c r="H72" s="872">
        <f>SUM(I72:O72)</f>
        <v>575000</v>
      </c>
      <c r="I72" s="845">
        <f>SUM(I73)</f>
        <v>25000</v>
      </c>
      <c r="J72" s="845">
        <f>SUM(J73)</f>
        <v>550000</v>
      </c>
      <c r="K72" s="845"/>
      <c r="L72" s="845"/>
      <c r="M72" s="845"/>
      <c r="N72" s="845"/>
      <c r="O72" s="845"/>
      <c r="P72" s="894"/>
    </row>
    <row r="73" spans="1:16" s="10" customFormat="1" ht="16.5" thickBot="1">
      <c r="A73" s="1522"/>
      <c r="B73" s="1523"/>
      <c r="C73" s="1523"/>
      <c r="D73" s="848" t="s">
        <v>195</v>
      </c>
      <c r="E73" s="1515"/>
      <c r="F73" s="1515"/>
      <c r="G73" s="1536"/>
      <c r="H73" s="874">
        <f>SUM(I73:O73)</f>
        <v>575000</v>
      </c>
      <c r="I73" s="850">
        <v>25000</v>
      </c>
      <c r="J73" s="850">
        <v>550000</v>
      </c>
      <c r="K73" s="850"/>
      <c r="L73" s="850"/>
      <c r="M73" s="850"/>
      <c r="N73" s="850"/>
      <c r="O73" s="875"/>
      <c r="P73" s="1094"/>
    </row>
    <row r="74" spans="1:16" s="10" customFormat="1" ht="15.75">
      <c r="A74" s="1511">
        <v>16</v>
      </c>
      <c r="B74" s="1514">
        <v>801</v>
      </c>
      <c r="C74" s="1514">
        <v>80104</v>
      </c>
      <c r="D74" s="837" t="s">
        <v>538</v>
      </c>
      <c r="E74" s="1514">
        <v>2009</v>
      </c>
      <c r="F74" s="1514">
        <v>2010</v>
      </c>
      <c r="G74" s="1525" t="s">
        <v>177</v>
      </c>
      <c r="H74" s="883"/>
      <c r="I74" s="870"/>
      <c r="J74" s="839"/>
      <c r="K74" s="839"/>
      <c r="L74" s="839"/>
      <c r="M74" s="839"/>
      <c r="N74" s="839"/>
      <c r="O74" s="893"/>
      <c r="P74" s="894"/>
    </row>
    <row r="75" spans="1:16" s="10" customFormat="1" ht="15.75">
      <c r="A75" s="1512"/>
      <c r="B75" s="1515"/>
      <c r="C75" s="1515"/>
      <c r="D75" s="843" t="s">
        <v>251</v>
      </c>
      <c r="E75" s="1517"/>
      <c r="F75" s="1517"/>
      <c r="G75" s="1526"/>
      <c r="H75" s="872">
        <f>SUM(I75:O75)</f>
        <v>740000</v>
      </c>
      <c r="I75" s="845">
        <f>SUM(I76)</f>
        <v>40000</v>
      </c>
      <c r="J75" s="845">
        <f>SUM(J76)</f>
        <v>700000</v>
      </c>
      <c r="K75" s="845"/>
      <c r="L75" s="845"/>
      <c r="M75" s="845"/>
      <c r="N75" s="845"/>
      <c r="O75" s="845"/>
      <c r="P75" s="894"/>
    </row>
    <row r="76" spans="1:16" s="10" customFormat="1" ht="16.5" thickBot="1">
      <c r="A76" s="1522"/>
      <c r="B76" s="1523"/>
      <c r="C76" s="1523"/>
      <c r="D76" s="848" t="s">
        <v>195</v>
      </c>
      <c r="E76" s="1515"/>
      <c r="F76" s="1515"/>
      <c r="G76" s="1536"/>
      <c r="H76" s="874">
        <f>SUM(I76:O76)</f>
        <v>740000</v>
      </c>
      <c r="I76" s="850">
        <v>40000</v>
      </c>
      <c r="J76" s="850">
        <v>700000</v>
      </c>
      <c r="K76" s="850"/>
      <c r="L76" s="850"/>
      <c r="M76" s="850"/>
      <c r="N76" s="850"/>
      <c r="O76" s="875"/>
      <c r="P76" s="894"/>
    </row>
    <row r="77" spans="1:16" s="1082" customFormat="1" ht="17.25" customHeight="1" thickBot="1" thickTop="1">
      <c r="A77" s="1520" t="s">
        <v>14</v>
      </c>
      <c r="B77" s="1521"/>
      <c r="C77" s="1521"/>
      <c r="D77" s="1521"/>
      <c r="E77" s="1521"/>
      <c r="F77" s="1521"/>
      <c r="G77" s="1521"/>
      <c r="H77" s="833">
        <f>SUM(I77:O77)</f>
        <v>37382459</v>
      </c>
      <c r="I77" s="892">
        <f aca="true" t="shared" si="6" ref="I77:O77">SUM(I79,I83,I87,I91,I95,I99,I102,I109,I112,I115)</f>
        <v>1148279</v>
      </c>
      <c r="J77" s="892">
        <f t="shared" si="6"/>
        <v>7264180</v>
      </c>
      <c r="K77" s="892">
        <f t="shared" si="6"/>
        <v>6670000</v>
      </c>
      <c r="L77" s="892">
        <f t="shared" si="6"/>
        <v>5650000</v>
      </c>
      <c r="M77" s="892">
        <f t="shared" si="6"/>
        <v>7650000</v>
      </c>
      <c r="N77" s="892">
        <f t="shared" si="6"/>
        <v>5500000</v>
      </c>
      <c r="O77" s="892">
        <f t="shared" si="6"/>
        <v>3500000</v>
      </c>
      <c r="P77" s="853"/>
    </row>
    <row r="78" spans="1:16" s="10" customFormat="1" ht="33" customHeight="1">
      <c r="A78" s="1511">
        <v>17</v>
      </c>
      <c r="B78" s="1514">
        <v>900</v>
      </c>
      <c r="C78" s="1514">
        <v>90001</v>
      </c>
      <c r="D78" s="837" t="s">
        <v>36</v>
      </c>
      <c r="E78" s="1514">
        <v>2008</v>
      </c>
      <c r="F78" s="1514">
        <v>2010</v>
      </c>
      <c r="G78" s="1525" t="s">
        <v>177</v>
      </c>
      <c r="H78" s="883"/>
      <c r="I78" s="905"/>
      <c r="J78" s="839"/>
      <c r="K78" s="839"/>
      <c r="L78" s="840"/>
      <c r="M78" s="840"/>
      <c r="N78" s="840"/>
      <c r="O78" s="841"/>
      <c r="P78" s="1575" t="s">
        <v>567</v>
      </c>
    </row>
    <row r="79" spans="1:16" s="10" customFormat="1" ht="15.75">
      <c r="A79" s="1512"/>
      <c r="B79" s="1515"/>
      <c r="C79" s="1515"/>
      <c r="D79" s="843" t="s">
        <v>251</v>
      </c>
      <c r="E79" s="1517"/>
      <c r="F79" s="1517"/>
      <c r="G79" s="1526"/>
      <c r="H79" s="872">
        <f>SUM(I79:O79)</f>
        <v>5524567</v>
      </c>
      <c r="I79" s="906">
        <f>SUM(I80:I81)</f>
        <v>10387</v>
      </c>
      <c r="J79" s="906">
        <f>SUM(J80:J81)</f>
        <v>5514180</v>
      </c>
      <c r="K79" s="906"/>
      <c r="L79" s="906"/>
      <c r="M79" s="907"/>
      <c r="N79" s="907"/>
      <c r="O79" s="908"/>
      <c r="P79" s="1576"/>
    </row>
    <row r="80" spans="1:16" s="10" customFormat="1" ht="15">
      <c r="A80" s="1512"/>
      <c r="B80" s="1515"/>
      <c r="C80" s="1515"/>
      <c r="D80" s="884" t="s">
        <v>195</v>
      </c>
      <c r="E80" s="1517"/>
      <c r="F80" s="1517"/>
      <c r="G80" s="1526"/>
      <c r="H80" s="909">
        <f>SUM(I80:M80)</f>
        <v>2982707</v>
      </c>
      <c r="I80" s="875">
        <v>10387</v>
      </c>
      <c r="J80" s="850">
        <v>2972320</v>
      </c>
      <c r="K80" s="850"/>
      <c r="L80" s="851"/>
      <c r="M80" s="851"/>
      <c r="N80" s="851"/>
      <c r="O80" s="873"/>
      <c r="P80" s="1576"/>
    </row>
    <row r="81" spans="1:16" s="10" customFormat="1" ht="15.75" thickBot="1">
      <c r="A81" s="1522"/>
      <c r="B81" s="1523"/>
      <c r="C81" s="1523"/>
      <c r="D81" s="877" t="s">
        <v>294</v>
      </c>
      <c r="E81" s="1524"/>
      <c r="F81" s="1524"/>
      <c r="G81" s="1574"/>
      <c r="H81" s="909">
        <f>SUM(I81:M81)</f>
        <v>2541860</v>
      </c>
      <c r="I81" s="910"/>
      <c r="J81" s="879">
        <v>2541860</v>
      </c>
      <c r="K81" s="879"/>
      <c r="L81" s="880"/>
      <c r="M81" s="880"/>
      <c r="N81" s="880"/>
      <c r="O81" s="881"/>
      <c r="P81" s="1577"/>
    </row>
    <row r="82" spans="1:16" s="10" customFormat="1" ht="15.75" customHeight="1">
      <c r="A82" s="1511">
        <v>18</v>
      </c>
      <c r="B82" s="1514">
        <v>900</v>
      </c>
      <c r="C82" s="1514">
        <v>90001</v>
      </c>
      <c r="D82" s="837" t="s">
        <v>242</v>
      </c>
      <c r="E82" s="1514">
        <v>2010</v>
      </c>
      <c r="F82" s="1514">
        <v>2013</v>
      </c>
      <c r="G82" s="1525" t="s">
        <v>13</v>
      </c>
      <c r="H82" s="883"/>
      <c r="I82" s="905"/>
      <c r="J82" s="839"/>
      <c r="K82" s="839"/>
      <c r="L82" s="840"/>
      <c r="M82" s="840"/>
      <c r="N82" s="840"/>
      <c r="O82" s="841"/>
      <c r="P82" s="871"/>
    </row>
    <row r="83" spans="1:16" s="10" customFormat="1" ht="15.75">
      <c r="A83" s="1512"/>
      <c r="B83" s="1515"/>
      <c r="C83" s="1515"/>
      <c r="D83" s="843" t="s">
        <v>251</v>
      </c>
      <c r="E83" s="1517"/>
      <c r="F83" s="1517"/>
      <c r="G83" s="1526"/>
      <c r="H83" s="872">
        <f>SUM(I83:O83)</f>
        <v>12350000</v>
      </c>
      <c r="I83" s="911"/>
      <c r="J83" s="906">
        <f>SUM(J84:J85)</f>
        <v>150000</v>
      </c>
      <c r="K83" s="906">
        <f>SUM(K84:K85)</f>
        <v>4200000</v>
      </c>
      <c r="L83" s="906">
        <f>SUM(L84:L85)</f>
        <v>4000000</v>
      </c>
      <c r="M83" s="906">
        <f>SUM(M84:M85)</f>
        <v>4000000</v>
      </c>
      <c r="N83" s="906"/>
      <c r="O83" s="906"/>
      <c r="P83" s="842"/>
    </row>
    <row r="84" spans="1:16" s="10" customFormat="1" ht="15">
      <c r="A84" s="1512"/>
      <c r="B84" s="1515"/>
      <c r="C84" s="1515"/>
      <c r="D84" s="884" t="s">
        <v>195</v>
      </c>
      <c r="E84" s="1517"/>
      <c r="F84" s="1517"/>
      <c r="G84" s="1526"/>
      <c r="H84" s="909">
        <f>SUM(I84:O84)</f>
        <v>3200000</v>
      </c>
      <c r="I84" s="912"/>
      <c r="J84" s="850">
        <v>150000</v>
      </c>
      <c r="K84" s="850">
        <v>1050000</v>
      </c>
      <c r="L84" s="851">
        <v>1000000</v>
      </c>
      <c r="M84" s="851">
        <v>1000000</v>
      </c>
      <c r="N84" s="851"/>
      <c r="O84" s="873"/>
      <c r="P84" s="842"/>
    </row>
    <row r="85" spans="1:16" s="10" customFormat="1" ht="15.75" thickBot="1">
      <c r="A85" s="1522"/>
      <c r="B85" s="1523"/>
      <c r="C85" s="1523"/>
      <c r="D85" s="877" t="s">
        <v>294</v>
      </c>
      <c r="E85" s="1524"/>
      <c r="F85" s="1524"/>
      <c r="G85" s="1574"/>
      <c r="H85" s="909">
        <f>SUM(I85:O85)</f>
        <v>9150000</v>
      </c>
      <c r="I85" s="910"/>
      <c r="J85" s="879"/>
      <c r="K85" s="879">
        <v>3150000</v>
      </c>
      <c r="L85" s="880">
        <v>3000000</v>
      </c>
      <c r="M85" s="880">
        <v>3000000</v>
      </c>
      <c r="N85" s="880"/>
      <c r="O85" s="881"/>
      <c r="P85" s="882">
        <v>0.75</v>
      </c>
    </row>
    <row r="86" spans="1:16" s="10" customFormat="1" ht="15.75">
      <c r="A86" s="1511">
        <v>19</v>
      </c>
      <c r="B86" s="1514">
        <v>900</v>
      </c>
      <c r="C86" s="1514">
        <v>90001</v>
      </c>
      <c r="D86" s="837" t="s">
        <v>37</v>
      </c>
      <c r="E86" s="1514">
        <v>2011</v>
      </c>
      <c r="F86" s="1514">
        <v>2014</v>
      </c>
      <c r="G86" s="1525" t="s">
        <v>13</v>
      </c>
      <c r="H86" s="883"/>
      <c r="I86" s="905"/>
      <c r="J86" s="839"/>
      <c r="K86" s="839"/>
      <c r="L86" s="840"/>
      <c r="M86" s="840"/>
      <c r="N86" s="840"/>
      <c r="O86" s="841"/>
      <c r="P86" s="871"/>
    </row>
    <row r="87" spans="1:16" s="10" customFormat="1" ht="15.75">
      <c r="A87" s="1512"/>
      <c r="B87" s="1515"/>
      <c r="C87" s="1515"/>
      <c r="D87" s="843" t="s">
        <v>251</v>
      </c>
      <c r="E87" s="1517"/>
      <c r="F87" s="1517"/>
      <c r="G87" s="1526"/>
      <c r="H87" s="872">
        <f>SUM(I87:O87)</f>
        <v>5200000</v>
      </c>
      <c r="I87" s="911"/>
      <c r="J87" s="906"/>
      <c r="K87" s="906">
        <f>SUM(K88:K89)</f>
        <v>50000</v>
      </c>
      <c r="L87" s="906">
        <f>SUM(L88:L89)</f>
        <v>150000</v>
      </c>
      <c r="M87" s="906">
        <f>SUM(M88:M89)</f>
        <v>2500000</v>
      </c>
      <c r="N87" s="906">
        <f>SUM(N88:N89)</f>
        <v>2500000</v>
      </c>
      <c r="O87" s="906"/>
      <c r="P87" s="842"/>
    </row>
    <row r="88" spans="1:16" s="10" customFormat="1" ht="15">
      <c r="A88" s="1512"/>
      <c r="B88" s="1515"/>
      <c r="C88" s="1515"/>
      <c r="D88" s="884" t="s">
        <v>195</v>
      </c>
      <c r="E88" s="1517"/>
      <c r="F88" s="1517"/>
      <c r="G88" s="1526"/>
      <c r="H88" s="909">
        <f>SUM(I88:O88)</f>
        <v>1450000</v>
      </c>
      <c r="I88" s="912"/>
      <c r="J88" s="850"/>
      <c r="K88" s="850">
        <v>50000</v>
      </c>
      <c r="L88" s="851">
        <v>150000</v>
      </c>
      <c r="M88" s="851">
        <v>625000</v>
      </c>
      <c r="N88" s="851">
        <v>625000</v>
      </c>
      <c r="O88" s="873"/>
      <c r="P88" s="842"/>
    </row>
    <row r="89" spans="1:16" s="10" customFormat="1" ht="15.75" thickBot="1">
      <c r="A89" s="1522"/>
      <c r="B89" s="1523"/>
      <c r="C89" s="1523"/>
      <c r="D89" s="877" t="s">
        <v>294</v>
      </c>
      <c r="E89" s="1524"/>
      <c r="F89" s="1524"/>
      <c r="G89" s="1574"/>
      <c r="H89" s="909">
        <f>SUM(I89:O89)</f>
        <v>3750000</v>
      </c>
      <c r="I89" s="910"/>
      <c r="J89" s="879"/>
      <c r="K89" s="879"/>
      <c r="L89" s="880"/>
      <c r="M89" s="880">
        <v>1875000</v>
      </c>
      <c r="N89" s="880">
        <v>1875000</v>
      </c>
      <c r="O89" s="881"/>
      <c r="P89" s="882">
        <v>0.75</v>
      </c>
    </row>
    <row r="90" spans="1:16" s="10" customFormat="1" ht="15.75">
      <c r="A90" s="1511">
        <v>20</v>
      </c>
      <c r="B90" s="1514">
        <v>900</v>
      </c>
      <c r="C90" s="1514">
        <v>90001</v>
      </c>
      <c r="D90" s="837" t="s">
        <v>38</v>
      </c>
      <c r="E90" s="1514">
        <v>2012</v>
      </c>
      <c r="F90" s="1514" t="s">
        <v>534</v>
      </c>
      <c r="G90" s="1525" t="s">
        <v>13</v>
      </c>
      <c r="H90" s="883"/>
      <c r="I90" s="905"/>
      <c r="J90" s="839"/>
      <c r="K90" s="839"/>
      <c r="L90" s="840"/>
      <c r="M90" s="840"/>
      <c r="N90" s="840"/>
      <c r="O90" s="841"/>
      <c r="P90" s="871"/>
    </row>
    <row r="91" spans="1:16" s="10" customFormat="1" ht="15.75">
      <c r="A91" s="1512"/>
      <c r="B91" s="1515"/>
      <c r="C91" s="1515"/>
      <c r="D91" s="843" t="s">
        <v>251</v>
      </c>
      <c r="E91" s="1517"/>
      <c r="F91" s="1517"/>
      <c r="G91" s="1526"/>
      <c r="H91" s="872">
        <f>SUM(I91:O91)</f>
        <v>6700000</v>
      </c>
      <c r="I91" s="911"/>
      <c r="J91" s="906"/>
      <c r="K91" s="906"/>
      <c r="L91" s="906">
        <f>SUM(L92:L93)</f>
        <v>50000</v>
      </c>
      <c r="M91" s="906">
        <f>SUM(M92:M93)</f>
        <v>150000</v>
      </c>
      <c r="N91" s="906">
        <f>SUM(N92:N93)</f>
        <v>3000000</v>
      </c>
      <c r="O91" s="906">
        <f>SUM(O92:O93)</f>
        <v>3500000</v>
      </c>
      <c r="P91" s="842"/>
    </row>
    <row r="92" spans="1:16" s="10" customFormat="1" ht="15">
      <c r="A92" s="1512"/>
      <c r="B92" s="1515"/>
      <c r="C92" s="1515"/>
      <c r="D92" s="884" t="s">
        <v>195</v>
      </c>
      <c r="E92" s="1517"/>
      <c r="F92" s="1517"/>
      <c r="G92" s="1526"/>
      <c r="H92" s="909">
        <f>SUM(I92:O92)</f>
        <v>1825000</v>
      </c>
      <c r="I92" s="912"/>
      <c r="J92" s="850"/>
      <c r="K92" s="850"/>
      <c r="L92" s="851">
        <v>50000</v>
      </c>
      <c r="M92" s="851">
        <v>150000</v>
      </c>
      <c r="N92" s="851">
        <v>750000</v>
      </c>
      <c r="O92" s="873">
        <v>875000</v>
      </c>
      <c r="P92" s="842"/>
    </row>
    <row r="93" spans="1:16" s="10" customFormat="1" ht="15.75" thickBot="1">
      <c r="A93" s="1522"/>
      <c r="B93" s="1523"/>
      <c r="C93" s="1523"/>
      <c r="D93" s="877" t="s">
        <v>294</v>
      </c>
      <c r="E93" s="1524"/>
      <c r="F93" s="1524"/>
      <c r="G93" s="1574"/>
      <c r="H93" s="909">
        <f>SUM(I93:O93)</f>
        <v>4875000</v>
      </c>
      <c r="I93" s="910"/>
      <c r="J93" s="879"/>
      <c r="K93" s="879"/>
      <c r="L93" s="880"/>
      <c r="M93" s="880"/>
      <c r="N93" s="880">
        <v>2250000</v>
      </c>
      <c r="O93" s="881">
        <v>2625000</v>
      </c>
      <c r="P93" s="882">
        <v>0.75</v>
      </c>
    </row>
    <row r="94" spans="1:16" s="10" customFormat="1" ht="31.5">
      <c r="A94" s="1511">
        <v>21</v>
      </c>
      <c r="B94" s="1514">
        <v>900</v>
      </c>
      <c r="C94" s="1514">
        <v>90001</v>
      </c>
      <c r="D94" s="913" t="s">
        <v>243</v>
      </c>
      <c r="E94" s="1517">
        <v>2010</v>
      </c>
      <c r="F94" s="1517">
        <v>2013</v>
      </c>
      <c r="G94" s="1526" t="s">
        <v>13</v>
      </c>
      <c r="H94" s="883"/>
      <c r="I94" s="914"/>
      <c r="J94" s="895"/>
      <c r="K94" s="895"/>
      <c r="L94" s="846"/>
      <c r="M94" s="846"/>
      <c r="N94" s="846"/>
      <c r="O94" s="847"/>
      <c r="P94" s="842"/>
    </row>
    <row r="95" spans="1:16" s="10" customFormat="1" ht="15.75">
      <c r="A95" s="1572"/>
      <c r="B95" s="1517"/>
      <c r="C95" s="1517"/>
      <c r="D95" s="843" t="s">
        <v>251</v>
      </c>
      <c r="E95" s="1517"/>
      <c r="F95" s="1517"/>
      <c r="G95" s="1526"/>
      <c r="H95" s="872">
        <f>SUM(I95:O95)</f>
        <v>1650000</v>
      </c>
      <c r="I95" s="915"/>
      <c r="J95" s="906"/>
      <c r="K95" s="906">
        <f>SUM(K96:K97)</f>
        <v>100000</v>
      </c>
      <c r="L95" s="906">
        <f>SUM(L96:L97)</f>
        <v>550000</v>
      </c>
      <c r="M95" s="906">
        <f>SUM(M96:M97)</f>
        <v>1000000</v>
      </c>
      <c r="N95" s="906"/>
      <c r="O95" s="873"/>
      <c r="P95" s="842"/>
    </row>
    <row r="96" spans="1:16" s="10" customFormat="1" ht="15">
      <c r="A96" s="1572"/>
      <c r="B96" s="1517"/>
      <c r="C96" s="1517"/>
      <c r="D96" s="884" t="s">
        <v>195</v>
      </c>
      <c r="E96" s="1517"/>
      <c r="F96" s="1517"/>
      <c r="G96" s="1526"/>
      <c r="H96" s="909">
        <f>SUM(I96:O96)</f>
        <v>487500</v>
      </c>
      <c r="I96" s="912"/>
      <c r="J96" s="850"/>
      <c r="K96" s="851">
        <v>100000</v>
      </c>
      <c r="L96" s="851">
        <v>137500</v>
      </c>
      <c r="M96" s="851">
        <v>250000</v>
      </c>
      <c r="N96" s="851"/>
      <c r="O96" s="873"/>
      <c r="P96" s="842"/>
    </row>
    <row r="97" spans="1:16" s="10" customFormat="1" ht="15.75" thickBot="1">
      <c r="A97" s="1573"/>
      <c r="B97" s="1524"/>
      <c r="C97" s="1524"/>
      <c r="D97" s="877" t="s">
        <v>294</v>
      </c>
      <c r="E97" s="1517"/>
      <c r="F97" s="1517"/>
      <c r="G97" s="1526"/>
      <c r="H97" s="909">
        <f>SUM(I97:O97)</f>
        <v>1162500</v>
      </c>
      <c r="I97" s="912"/>
      <c r="J97" s="850"/>
      <c r="K97" s="851"/>
      <c r="L97" s="851">
        <v>412500</v>
      </c>
      <c r="M97" s="851">
        <v>750000</v>
      </c>
      <c r="N97" s="851"/>
      <c r="O97" s="873"/>
      <c r="P97" s="876">
        <v>0.75</v>
      </c>
    </row>
    <row r="98" spans="1:16" s="10" customFormat="1" ht="31.5">
      <c r="A98" s="1511">
        <v>22</v>
      </c>
      <c r="B98" s="1514">
        <v>900</v>
      </c>
      <c r="C98" s="1514">
        <v>90001</v>
      </c>
      <c r="D98" s="922" t="s">
        <v>559</v>
      </c>
      <c r="E98" s="1514">
        <v>2009</v>
      </c>
      <c r="F98" s="1514">
        <v>2011</v>
      </c>
      <c r="G98" s="1514" t="s">
        <v>13</v>
      </c>
      <c r="H98" s="916"/>
      <c r="I98" s="917"/>
      <c r="J98" s="918"/>
      <c r="K98" s="918"/>
      <c r="L98" s="919"/>
      <c r="M98" s="919"/>
      <c r="N98" s="919"/>
      <c r="O98" s="920"/>
      <c r="P98" s="871"/>
    </row>
    <row r="99" spans="1:16" s="10" customFormat="1" ht="15.75">
      <c r="A99" s="1512"/>
      <c r="B99" s="1588"/>
      <c r="C99" s="1588"/>
      <c r="D99" s="921" t="s">
        <v>251</v>
      </c>
      <c r="E99" s="1533"/>
      <c r="F99" s="1533"/>
      <c r="G99" s="1533"/>
      <c r="H99" s="872">
        <f>SUM(I99:O99)</f>
        <v>375000</v>
      </c>
      <c r="I99" s="906">
        <f>SUM(I100:I100)</f>
        <v>25000</v>
      </c>
      <c r="J99" s="906"/>
      <c r="K99" s="906">
        <f>SUM(K100:K100)</f>
        <v>350000</v>
      </c>
      <c r="L99" s="851"/>
      <c r="M99" s="851"/>
      <c r="N99" s="851"/>
      <c r="O99" s="873"/>
      <c r="P99" s="842"/>
    </row>
    <row r="100" spans="1:16" s="10" customFormat="1" ht="15.75" thickBot="1">
      <c r="A100" s="1572"/>
      <c r="B100" s="1524"/>
      <c r="C100" s="1524"/>
      <c r="D100" s="877" t="s">
        <v>195</v>
      </c>
      <c r="E100" s="1587"/>
      <c r="F100" s="1587"/>
      <c r="G100" s="1587"/>
      <c r="H100" s="874">
        <f>SUM(I100:O100)</f>
        <v>375000</v>
      </c>
      <c r="I100" s="850">
        <v>25000</v>
      </c>
      <c r="J100" s="850"/>
      <c r="K100" s="850">
        <v>350000</v>
      </c>
      <c r="L100" s="851"/>
      <c r="M100" s="851"/>
      <c r="N100" s="851"/>
      <c r="O100" s="873"/>
      <c r="P100" s="842"/>
    </row>
    <row r="101" spans="1:16" s="10" customFormat="1" ht="15.75">
      <c r="A101" s="1511">
        <v>23</v>
      </c>
      <c r="B101" s="1514">
        <v>900</v>
      </c>
      <c r="C101" s="1514">
        <v>90001</v>
      </c>
      <c r="D101" s="922" t="s">
        <v>539</v>
      </c>
      <c r="E101" s="1514">
        <v>2009</v>
      </c>
      <c r="F101" s="1514">
        <v>2011</v>
      </c>
      <c r="G101" s="1514" t="s">
        <v>13</v>
      </c>
      <c r="H101" s="916"/>
      <c r="I101" s="917"/>
      <c r="J101" s="918"/>
      <c r="K101" s="918"/>
      <c r="L101" s="919"/>
      <c r="M101" s="919"/>
      <c r="N101" s="919"/>
      <c r="O101" s="920"/>
      <c r="P101" s="871"/>
    </row>
    <row r="102" spans="1:16" s="10" customFormat="1" ht="15.75">
      <c r="A102" s="1512"/>
      <c r="B102" s="1588"/>
      <c r="C102" s="1588"/>
      <c r="D102" s="921" t="s">
        <v>251</v>
      </c>
      <c r="E102" s="1533"/>
      <c r="F102" s="1533"/>
      <c r="G102" s="1533"/>
      <c r="H102" s="872">
        <f>SUM(I102:O102)</f>
        <v>550000</v>
      </c>
      <c r="I102" s="906">
        <f>SUM(I103:I103)</f>
        <v>30000</v>
      </c>
      <c r="J102" s="906"/>
      <c r="K102" s="906">
        <f>SUM(K103:K103)</f>
        <v>520000</v>
      </c>
      <c r="L102" s="851"/>
      <c r="M102" s="851"/>
      <c r="N102" s="851"/>
      <c r="O102" s="873"/>
      <c r="P102" s="842"/>
    </row>
    <row r="103" spans="1:16" s="10" customFormat="1" ht="15.75" thickBot="1">
      <c r="A103" s="1573"/>
      <c r="B103" s="1524"/>
      <c r="C103" s="1524"/>
      <c r="D103" s="877" t="s">
        <v>195</v>
      </c>
      <c r="E103" s="1587"/>
      <c r="F103" s="1587"/>
      <c r="G103" s="1587"/>
      <c r="H103" s="899">
        <f>SUM(I103:O103)</f>
        <v>550000</v>
      </c>
      <c r="I103" s="879">
        <v>30000</v>
      </c>
      <c r="J103" s="879"/>
      <c r="K103" s="879">
        <v>520000</v>
      </c>
      <c r="L103" s="880"/>
      <c r="M103" s="880"/>
      <c r="N103" s="880"/>
      <c r="O103" s="881"/>
      <c r="P103" s="924"/>
    </row>
    <row r="104" spans="1:16" s="10" customFormat="1" ht="15.75">
      <c r="A104" s="1557" t="s">
        <v>118</v>
      </c>
      <c r="B104" s="1544" t="s">
        <v>440</v>
      </c>
      <c r="C104" s="1544" t="s">
        <v>175</v>
      </c>
      <c r="D104" s="1544" t="s">
        <v>0</v>
      </c>
      <c r="E104" s="1567" t="s">
        <v>234</v>
      </c>
      <c r="F104" s="1580"/>
      <c r="G104" s="1544" t="s">
        <v>176</v>
      </c>
      <c r="H104" s="1567" t="s">
        <v>238</v>
      </c>
      <c r="I104" s="1547" t="s">
        <v>1</v>
      </c>
      <c r="J104" s="1569"/>
      <c r="K104" s="1569"/>
      <c r="L104" s="1569"/>
      <c r="M104" s="1569"/>
      <c r="N104" s="1569"/>
      <c r="O104" s="1569"/>
      <c r="P104" s="1550" t="s">
        <v>248</v>
      </c>
    </row>
    <row r="105" spans="1:16" s="10" customFormat="1" ht="15.75">
      <c r="A105" s="1558"/>
      <c r="B105" s="1545"/>
      <c r="C105" s="1545"/>
      <c r="D105" s="1545"/>
      <c r="E105" s="1560"/>
      <c r="F105" s="1561"/>
      <c r="G105" s="1545"/>
      <c r="H105" s="1545"/>
      <c r="I105" s="1545" t="s">
        <v>532</v>
      </c>
      <c r="J105" s="1545" t="s">
        <v>533</v>
      </c>
      <c r="K105" s="1560" t="s">
        <v>249</v>
      </c>
      <c r="L105" s="1571"/>
      <c r="M105" s="1571"/>
      <c r="N105" s="1571"/>
      <c r="O105" s="1571"/>
      <c r="P105" s="1551"/>
    </row>
    <row r="106" spans="1:16" s="10" customFormat="1" ht="31.5" customHeight="1" thickBot="1">
      <c r="A106" s="1559"/>
      <c r="B106" s="1546"/>
      <c r="C106" s="1546"/>
      <c r="D106" s="1546"/>
      <c r="E106" s="901" t="s">
        <v>2</v>
      </c>
      <c r="F106" s="901" t="s">
        <v>3</v>
      </c>
      <c r="G106" s="1546"/>
      <c r="H106" s="1568"/>
      <c r="I106" s="1568"/>
      <c r="J106" s="1568"/>
      <c r="K106" s="902">
        <v>2011</v>
      </c>
      <c r="L106" s="903">
        <v>2012</v>
      </c>
      <c r="M106" s="903">
        <v>2013</v>
      </c>
      <c r="N106" s="903">
        <v>2014</v>
      </c>
      <c r="O106" s="904" t="s">
        <v>534</v>
      </c>
      <c r="P106" s="1570"/>
    </row>
    <row r="107" spans="1:16" s="10" customFormat="1" ht="15.75" thickBot="1">
      <c r="A107" s="927">
        <v>1</v>
      </c>
      <c r="B107" s="928">
        <v>2</v>
      </c>
      <c r="C107" s="928">
        <v>3</v>
      </c>
      <c r="D107" s="928">
        <v>4</v>
      </c>
      <c r="E107" s="929">
        <v>5</v>
      </c>
      <c r="F107" s="929">
        <v>6</v>
      </c>
      <c r="G107" s="929">
        <v>7</v>
      </c>
      <c r="H107" s="930">
        <v>8</v>
      </c>
      <c r="I107" s="929">
        <v>9</v>
      </c>
      <c r="J107" s="928">
        <v>10</v>
      </c>
      <c r="K107" s="928">
        <v>11</v>
      </c>
      <c r="L107" s="928">
        <v>12</v>
      </c>
      <c r="M107" s="928">
        <v>13</v>
      </c>
      <c r="N107" s="928">
        <v>14</v>
      </c>
      <c r="O107" s="931">
        <v>15</v>
      </c>
      <c r="P107" s="932">
        <v>16</v>
      </c>
    </row>
    <row r="108" spans="1:16" s="10" customFormat="1" ht="52.5" customHeight="1" thickTop="1">
      <c r="A108" s="1511">
        <v>24</v>
      </c>
      <c r="B108" s="1514">
        <v>900</v>
      </c>
      <c r="C108" s="1514">
        <v>90001</v>
      </c>
      <c r="D108" s="922" t="s">
        <v>560</v>
      </c>
      <c r="E108" s="1514">
        <v>2008</v>
      </c>
      <c r="F108" s="1514">
        <v>2011</v>
      </c>
      <c r="G108" s="1514" t="s">
        <v>13</v>
      </c>
      <c r="H108" s="923"/>
      <c r="I108" s="917"/>
      <c r="J108" s="918"/>
      <c r="K108" s="918"/>
      <c r="L108" s="919"/>
      <c r="M108" s="919"/>
      <c r="N108" s="919"/>
      <c r="O108" s="920"/>
      <c r="P108" s="871"/>
    </row>
    <row r="109" spans="1:16" s="10" customFormat="1" ht="15.75">
      <c r="A109" s="1512"/>
      <c r="B109" s="1515"/>
      <c r="C109" s="1515"/>
      <c r="D109" s="921" t="s">
        <v>251</v>
      </c>
      <c r="E109" s="1515"/>
      <c r="F109" s="1515"/>
      <c r="G109" s="1515"/>
      <c r="H109" s="872">
        <f>SUM(I109:O109)</f>
        <v>1505246</v>
      </c>
      <c r="I109" s="906">
        <f>SUM(I110:I110)</f>
        <v>5246</v>
      </c>
      <c r="J109" s="1322">
        <f>SUM(J110:J110)</f>
        <v>1000000</v>
      </c>
      <c r="K109" s="1322">
        <f>SUM(K110:K110)</f>
        <v>500000</v>
      </c>
      <c r="L109" s="851"/>
      <c r="M109" s="851"/>
      <c r="N109" s="851"/>
      <c r="O109" s="873"/>
      <c r="P109" s="842"/>
    </row>
    <row r="110" spans="1:16" s="10" customFormat="1" ht="15.75" thickBot="1">
      <c r="A110" s="1512"/>
      <c r="B110" s="1515"/>
      <c r="C110" s="1515"/>
      <c r="D110" s="848" t="s">
        <v>195</v>
      </c>
      <c r="E110" s="1515"/>
      <c r="F110" s="1515"/>
      <c r="G110" s="1515"/>
      <c r="H110" s="909">
        <f>SUM(I110:O110)</f>
        <v>1505246</v>
      </c>
      <c r="I110" s="875">
        <v>5246</v>
      </c>
      <c r="J110" s="1323">
        <f>1500000-500000</f>
        <v>1000000</v>
      </c>
      <c r="K110" s="1323">
        <v>500000</v>
      </c>
      <c r="L110" s="851"/>
      <c r="M110" s="851"/>
      <c r="N110" s="851"/>
      <c r="O110" s="873"/>
      <c r="P110" s="842"/>
    </row>
    <row r="111" spans="1:16" s="10" customFormat="1" ht="47.25">
      <c r="A111" s="1565">
        <v>25</v>
      </c>
      <c r="B111" s="1566">
        <v>900</v>
      </c>
      <c r="C111" s="1566">
        <v>90001</v>
      </c>
      <c r="D111" s="922" t="s">
        <v>561</v>
      </c>
      <c r="E111" s="1566">
        <v>2008</v>
      </c>
      <c r="F111" s="1566">
        <v>2010</v>
      </c>
      <c r="G111" s="1566" t="s">
        <v>13</v>
      </c>
      <c r="H111" s="923"/>
      <c r="I111" s="917"/>
      <c r="J111" s="918"/>
      <c r="K111" s="918"/>
      <c r="L111" s="919"/>
      <c r="M111" s="919"/>
      <c r="N111" s="919"/>
      <c r="O111" s="920"/>
      <c r="P111" s="871"/>
    </row>
    <row r="112" spans="1:16" s="10" customFormat="1" ht="15.75">
      <c r="A112" s="1512"/>
      <c r="B112" s="1515"/>
      <c r="C112" s="1515"/>
      <c r="D112" s="921" t="s">
        <v>251</v>
      </c>
      <c r="E112" s="1515"/>
      <c r="F112" s="1515"/>
      <c r="G112" s="1515"/>
      <c r="H112" s="872">
        <f>SUM(I112:O112)</f>
        <v>1605364</v>
      </c>
      <c r="I112" s="906">
        <f>SUM(I113:I113)</f>
        <v>1005364</v>
      </c>
      <c r="J112" s="906">
        <f>SUM(J113:J113)</f>
        <v>600000</v>
      </c>
      <c r="K112" s="906"/>
      <c r="L112" s="851"/>
      <c r="M112" s="851"/>
      <c r="N112" s="851"/>
      <c r="O112" s="873"/>
      <c r="P112" s="842"/>
    </row>
    <row r="113" spans="1:16" s="10" customFormat="1" ht="15.75" thickBot="1">
      <c r="A113" s="1512"/>
      <c r="B113" s="1515"/>
      <c r="C113" s="1515"/>
      <c r="D113" s="848" t="s">
        <v>195</v>
      </c>
      <c r="E113" s="1515"/>
      <c r="F113" s="1515"/>
      <c r="G113" s="1515"/>
      <c r="H113" s="899">
        <f>SUM(I113:O113)</f>
        <v>1605364</v>
      </c>
      <c r="I113" s="910">
        <v>1005364</v>
      </c>
      <c r="J113" s="879">
        <v>600000</v>
      </c>
      <c r="K113" s="879"/>
      <c r="L113" s="880"/>
      <c r="M113" s="880"/>
      <c r="N113" s="880"/>
      <c r="O113" s="881"/>
      <c r="P113" s="924"/>
    </row>
    <row r="114" spans="1:16" s="10" customFormat="1" ht="48.75" customHeight="1">
      <c r="A114" s="1535">
        <v>26</v>
      </c>
      <c r="B114" s="1514">
        <v>900</v>
      </c>
      <c r="C114" s="1514">
        <v>90001</v>
      </c>
      <c r="D114" s="837" t="s">
        <v>562</v>
      </c>
      <c r="E114" s="1514">
        <v>2007</v>
      </c>
      <c r="F114" s="1514">
        <v>2012</v>
      </c>
      <c r="G114" s="1525" t="s">
        <v>177</v>
      </c>
      <c r="H114" s="883"/>
      <c r="I114" s="905"/>
      <c r="J114" s="839"/>
      <c r="K114" s="839"/>
      <c r="L114" s="839"/>
      <c r="M114" s="840"/>
      <c r="N114" s="840"/>
      <c r="O114" s="841"/>
      <c r="P114" s="871"/>
    </row>
    <row r="115" spans="1:16" s="10" customFormat="1" ht="15.75">
      <c r="A115" s="1512"/>
      <c r="B115" s="1515"/>
      <c r="C115" s="1515"/>
      <c r="D115" s="843" t="s">
        <v>251</v>
      </c>
      <c r="E115" s="1517"/>
      <c r="F115" s="1517"/>
      <c r="G115" s="1526"/>
      <c r="H115" s="872">
        <f>SUM(I115:O115)</f>
        <v>1922282</v>
      </c>
      <c r="I115" s="911">
        <f>SUM(I116:I116)</f>
        <v>72282</v>
      </c>
      <c r="J115" s="911"/>
      <c r="K115" s="911">
        <f>SUM(K116:K116)</f>
        <v>950000</v>
      </c>
      <c r="L115" s="911">
        <f>SUM(L116:L116)</f>
        <v>900000</v>
      </c>
      <c r="M115" s="851"/>
      <c r="N115" s="851"/>
      <c r="O115" s="873"/>
      <c r="P115" s="842"/>
    </row>
    <row r="116" spans="1:16" s="10" customFormat="1" ht="15.75" thickBot="1">
      <c r="A116" s="1512"/>
      <c r="B116" s="1515"/>
      <c r="C116" s="1515"/>
      <c r="D116" s="848" t="s">
        <v>195</v>
      </c>
      <c r="E116" s="1517"/>
      <c r="F116" s="1517"/>
      <c r="G116" s="1526"/>
      <c r="H116" s="909">
        <f>SUM(I116:O116)</f>
        <v>1922282</v>
      </c>
      <c r="I116" s="912">
        <v>72282</v>
      </c>
      <c r="J116" s="850"/>
      <c r="K116" s="850">
        <v>950000</v>
      </c>
      <c r="L116" s="850">
        <v>900000</v>
      </c>
      <c r="M116" s="851"/>
      <c r="N116" s="851"/>
      <c r="O116" s="873"/>
      <c r="P116" s="842"/>
    </row>
    <row r="117" spans="1:16" s="10" customFormat="1" ht="17.25" thickBot="1" thickTop="1">
      <c r="A117" s="1520" t="s">
        <v>252</v>
      </c>
      <c r="B117" s="1521"/>
      <c r="C117" s="1521"/>
      <c r="D117" s="1521"/>
      <c r="E117" s="1521"/>
      <c r="F117" s="1521"/>
      <c r="G117" s="1521"/>
      <c r="H117" s="833">
        <f>SUM(I117:O117)</f>
        <v>14260000</v>
      </c>
      <c r="I117" s="925">
        <f>SUM(I119)</f>
        <v>994247</v>
      </c>
      <c r="J117" s="925">
        <f aca="true" t="shared" si="7" ref="J117:O117">SUM(J119)</f>
        <v>0</v>
      </c>
      <c r="K117" s="925">
        <f t="shared" si="7"/>
        <v>7623000</v>
      </c>
      <c r="L117" s="925">
        <f t="shared" si="7"/>
        <v>5642753</v>
      </c>
      <c r="M117" s="925">
        <f t="shared" si="7"/>
        <v>0</v>
      </c>
      <c r="N117" s="925">
        <f t="shared" si="7"/>
        <v>0</v>
      </c>
      <c r="O117" s="925">
        <f t="shared" si="7"/>
        <v>0</v>
      </c>
      <c r="P117" s="853"/>
    </row>
    <row r="118" spans="1:16" s="10" customFormat="1" ht="31.5">
      <c r="A118" s="1535">
        <v>27</v>
      </c>
      <c r="B118" s="1514">
        <v>900</v>
      </c>
      <c r="C118" s="1514">
        <v>90002</v>
      </c>
      <c r="D118" s="837" t="s">
        <v>563</v>
      </c>
      <c r="E118" s="1514">
        <v>2008</v>
      </c>
      <c r="F118" s="1514">
        <v>2012</v>
      </c>
      <c r="G118" s="1514" t="s">
        <v>39</v>
      </c>
      <c r="H118" s="883"/>
      <c r="I118" s="905"/>
      <c r="J118" s="839"/>
      <c r="K118" s="839"/>
      <c r="L118" s="839"/>
      <c r="M118" s="840"/>
      <c r="N118" s="840"/>
      <c r="O118" s="841"/>
      <c r="P118" s="871"/>
    </row>
    <row r="119" spans="1:16" s="10" customFormat="1" ht="15.75">
      <c r="A119" s="1586"/>
      <c r="B119" s="1517"/>
      <c r="C119" s="1517"/>
      <c r="D119" s="843" t="s">
        <v>251</v>
      </c>
      <c r="E119" s="1517"/>
      <c r="F119" s="1517"/>
      <c r="G119" s="1517"/>
      <c r="H119" s="872">
        <f>SUM(I119:O119)</f>
        <v>14260000</v>
      </c>
      <c r="I119" s="906">
        <f>SUM(I120:I121)</f>
        <v>994247</v>
      </c>
      <c r="J119" s="906"/>
      <c r="K119" s="906">
        <f>SUM(K120:K121)</f>
        <v>7623000</v>
      </c>
      <c r="L119" s="906">
        <f>SUM(L120:L121)</f>
        <v>5642753</v>
      </c>
      <c r="M119" s="906"/>
      <c r="N119" s="907"/>
      <c r="O119" s="908"/>
      <c r="P119" s="842"/>
    </row>
    <row r="120" spans="1:16" s="10" customFormat="1" ht="15">
      <c r="A120" s="1586"/>
      <c r="B120" s="1517"/>
      <c r="C120" s="1517"/>
      <c r="D120" s="884" t="s">
        <v>535</v>
      </c>
      <c r="E120" s="1563"/>
      <c r="F120" s="1563"/>
      <c r="G120" s="1563"/>
      <c r="H120" s="909">
        <f>SUM(I120:O120)</f>
        <v>2995200</v>
      </c>
      <c r="I120" s="850">
        <v>209547</v>
      </c>
      <c r="J120" s="850"/>
      <c r="K120" s="850">
        <v>1600800</v>
      </c>
      <c r="L120" s="850">
        <v>1184853</v>
      </c>
      <c r="M120" s="851"/>
      <c r="N120" s="851"/>
      <c r="O120" s="873"/>
      <c r="P120" s="842"/>
    </row>
    <row r="121" spans="1:16" s="10" customFormat="1" ht="15.75" thickBot="1">
      <c r="A121" s="1522"/>
      <c r="B121" s="1523"/>
      <c r="C121" s="1523"/>
      <c r="D121" s="877" t="s">
        <v>294</v>
      </c>
      <c r="E121" s="1564"/>
      <c r="F121" s="1564"/>
      <c r="G121" s="1564"/>
      <c r="H121" s="926">
        <f>SUM(I121:O121)</f>
        <v>11264800</v>
      </c>
      <c r="I121" s="910">
        <v>784700</v>
      </c>
      <c r="J121" s="879"/>
      <c r="K121" s="879">
        <v>6022200</v>
      </c>
      <c r="L121" s="879">
        <v>4457900</v>
      </c>
      <c r="M121" s="880"/>
      <c r="N121" s="880"/>
      <c r="O121" s="881"/>
      <c r="P121" s="882">
        <v>0.75</v>
      </c>
    </row>
    <row r="122" spans="1:16" s="10" customFormat="1" ht="17.25" thickBot="1" thickTop="1">
      <c r="A122" s="1520" t="s">
        <v>260</v>
      </c>
      <c r="B122" s="1521"/>
      <c r="C122" s="1521"/>
      <c r="D122" s="1521"/>
      <c r="E122" s="1521"/>
      <c r="F122" s="1521"/>
      <c r="G122" s="1521"/>
      <c r="H122" s="833">
        <f>SUM(I122:O122)</f>
        <v>993388</v>
      </c>
      <c r="I122" s="925">
        <f>SUM(I124,I127,I130,I133,I136,I139,I142,I145,I148)</f>
        <v>93388</v>
      </c>
      <c r="J122" s="925">
        <f aca="true" t="shared" si="8" ref="J122:O122">SUM(J124,J127,J130,J133,J136,J139,J142,J145,J148)</f>
        <v>220000</v>
      </c>
      <c r="K122" s="925">
        <f t="shared" si="8"/>
        <v>440000</v>
      </c>
      <c r="L122" s="925">
        <f t="shared" si="8"/>
        <v>240000</v>
      </c>
      <c r="M122" s="925">
        <f t="shared" si="8"/>
        <v>0</v>
      </c>
      <c r="N122" s="925">
        <f t="shared" si="8"/>
        <v>0</v>
      </c>
      <c r="O122" s="925">
        <f t="shared" si="8"/>
        <v>0</v>
      </c>
      <c r="P122" s="853"/>
    </row>
    <row r="123" spans="1:16" s="10" customFormat="1" ht="31.5">
      <c r="A123" s="1535">
        <v>28</v>
      </c>
      <c r="B123" s="1514">
        <v>900</v>
      </c>
      <c r="C123" s="1514">
        <v>90015</v>
      </c>
      <c r="D123" s="837" t="s">
        <v>40</v>
      </c>
      <c r="E123" s="1514">
        <v>2009</v>
      </c>
      <c r="F123" s="1514">
        <v>2011</v>
      </c>
      <c r="G123" s="1525" t="s">
        <v>13</v>
      </c>
      <c r="H123" s="883"/>
      <c r="I123" s="870"/>
      <c r="J123" s="839"/>
      <c r="K123" s="839"/>
      <c r="L123" s="839"/>
      <c r="M123" s="840"/>
      <c r="N123" s="840"/>
      <c r="O123" s="841"/>
      <c r="P123" s="871"/>
    </row>
    <row r="124" spans="1:16" s="10" customFormat="1" ht="15.75">
      <c r="A124" s="1512"/>
      <c r="B124" s="1515"/>
      <c r="C124" s="1515"/>
      <c r="D124" s="843" t="s">
        <v>251</v>
      </c>
      <c r="E124" s="1517"/>
      <c r="F124" s="1517"/>
      <c r="G124" s="1526"/>
      <c r="H124" s="872">
        <f>SUM(I124:O124)</f>
        <v>170000</v>
      </c>
      <c r="I124" s="872">
        <f>SUM(I125:I125)</f>
        <v>20000</v>
      </c>
      <c r="J124" s="872"/>
      <c r="K124" s="872">
        <f>SUM(K125:K125)</f>
        <v>150000</v>
      </c>
      <c r="L124" s="850"/>
      <c r="M124" s="851"/>
      <c r="N124" s="851"/>
      <c r="O124" s="873"/>
      <c r="P124" s="842"/>
    </row>
    <row r="125" spans="1:16" s="10" customFormat="1" ht="15.75" thickBot="1">
      <c r="A125" s="1512"/>
      <c r="B125" s="1515"/>
      <c r="C125" s="1515"/>
      <c r="D125" s="848" t="s">
        <v>195</v>
      </c>
      <c r="E125" s="1515"/>
      <c r="F125" s="1515"/>
      <c r="G125" s="1536"/>
      <c r="H125" s="909">
        <f>SUM(I125:O125)</f>
        <v>170000</v>
      </c>
      <c r="I125" s="850">
        <v>20000</v>
      </c>
      <c r="J125" s="850"/>
      <c r="K125" s="850">
        <v>150000</v>
      </c>
      <c r="L125" s="850"/>
      <c r="M125" s="851"/>
      <c r="N125" s="851"/>
      <c r="O125" s="873"/>
      <c r="P125" s="924"/>
    </row>
    <row r="126" spans="1:16" s="10" customFormat="1" ht="15.75">
      <c r="A126" s="1535">
        <v>29</v>
      </c>
      <c r="B126" s="1514">
        <v>900</v>
      </c>
      <c r="C126" s="1514">
        <v>90015</v>
      </c>
      <c r="D126" s="837" t="s">
        <v>41</v>
      </c>
      <c r="E126" s="1514">
        <v>2009</v>
      </c>
      <c r="F126" s="1514">
        <v>2011</v>
      </c>
      <c r="G126" s="1525" t="s">
        <v>13</v>
      </c>
      <c r="H126" s="883"/>
      <c r="I126" s="870"/>
      <c r="J126" s="839"/>
      <c r="K126" s="839"/>
      <c r="L126" s="839"/>
      <c r="M126" s="840"/>
      <c r="N126" s="840"/>
      <c r="O126" s="841"/>
      <c r="P126" s="871"/>
    </row>
    <row r="127" spans="1:16" s="10" customFormat="1" ht="15.75">
      <c r="A127" s="1512"/>
      <c r="B127" s="1515"/>
      <c r="C127" s="1515"/>
      <c r="D127" s="843" t="s">
        <v>251</v>
      </c>
      <c r="E127" s="1517"/>
      <c r="F127" s="1517"/>
      <c r="G127" s="1526"/>
      <c r="H127" s="872">
        <f>SUM(I127:O127)</f>
        <v>165000</v>
      </c>
      <c r="I127" s="872">
        <f>SUM(I128:I128)</f>
        <v>25000</v>
      </c>
      <c r="J127" s="872"/>
      <c r="K127" s="872">
        <f>SUM(K128:K128)</f>
        <v>140000</v>
      </c>
      <c r="L127" s="850"/>
      <c r="M127" s="851"/>
      <c r="N127" s="851"/>
      <c r="O127" s="873"/>
      <c r="P127" s="842"/>
    </row>
    <row r="128" spans="1:16" s="10" customFormat="1" ht="15.75" thickBot="1">
      <c r="A128" s="1512"/>
      <c r="B128" s="1515"/>
      <c r="C128" s="1515"/>
      <c r="D128" s="848" t="s">
        <v>195</v>
      </c>
      <c r="E128" s="1515"/>
      <c r="F128" s="1515"/>
      <c r="G128" s="1536"/>
      <c r="H128" s="909">
        <f>SUM(I128:O128)</f>
        <v>165000</v>
      </c>
      <c r="I128" s="850">
        <v>25000</v>
      </c>
      <c r="J128" s="850"/>
      <c r="K128" s="850">
        <v>140000</v>
      </c>
      <c r="L128" s="850"/>
      <c r="M128" s="851"/>
      <c r="N128" s="851"/>
      <c r="O128" s="873"/>
      <c r="P128" s="924"/>
    </row>
    <row r="129" spans="1:16" s="10" customFormat="1" ht="15.75">
      <c r="A129" s="1535">
        <v>30</v>
      </c>
      <c r="B129" s="1514">
        <v>900</v>
      </c>
      <c r="C129" s="1514">
        <v>90015</v>
      </c>
      <c r="D129" s="837" t="s">
        <v>42</v>
      </c>
      <c r="E129" s="1514">
        <v>2009</v>
      </c>
      <c r="F129" s="1514">
        <v>2011</v>
      </c>
      <c r="G129" s="1525" t="s">
        <v>13</v>
      </c>
      <c r="H129" s="883"/>
      <c r="I129" s="870"/>
      <c r="J129" s="839"/>
      <c r="K129" s="839"/>
      <c r="L129" s="839"/>
      <c r="M129" s="840"/>
      <c r="N129" s="840"/>
      <c r="O129" s="841"/>
      <c r="P129" s="871"/>
    </row>
    <row r="130" spans="1:16" s="10" customFormat="1" ht="15.75">
      <c r="A130" s="1512"/>
      <c r="B130" s="1515"/>
      <c r="C130" s="1515"/>
      <c r="D130" s="843" t="s">
        <v>251</v>
      </c>
      <c r="E130" s="1517"/>
      <c r="F130" s="1517"/>
      <c r="G130" s="1526"/>
      <c r="H130" s="872">
        <f>SUM(I130:O130)</f>
        <v>96000</v>
      </c>
      <c r="I130" s="872">
        <f>SUM(I131:I131)</f>
        <v>16000</v>
      </c>
      <c r="J130" s="872"/>
      <c r="K130" s="872">
        <f>SUM(K131:K131)</f>
        <v>80000</v>
      </c>
      <c r="L130" s="850"/>
      <c r="M130" s="851"/>
      <c r="N130" s="851"/>
      <c r="O130" s="873"/>
      <c r="P130" s="842"/>
    </row>
    <row r="131" spans="1:16" s="10" customFormat="1" ht="15.75" thickBot="1">
      <c r="A131" s="1512"/>
      <c r="B131" s="1515"/>
      <c r="C131" s="1515"/>
      <c r="D131" s="848" t="s">
        <v>195</v>
      </c>
      <c r="E131" s="1515"/>
      <c r="F131" s="1515"/>
      <c r="G131" s="1536"/>
      <c r="H131" s="909">
        <f>SUM(I131:O131)</f>
        <v>96000</v>
      </c>
      <c r="I131" s="850">
        <v>16000</v>
      </c>
      <c r="J131" s="850"/>
      <c r="K131" s="850">
        <v>80000</v>
      </c>
      <c r="L131" s="850"/>
      <c r="M131" s="851"/>
      <c r="N131" s="851"/>
      <c r="O131" s="873"/>
      <c r="P131" s="924"/>
    </row>
    <row r="132" spans="1:16" s="10" customFormat="1" ht="15.75">
      <c r="A132" s="1535">
        <v>31</v>
      </c>
      <c r="B132" s="1514">
        <v>900</v>
      </c>
      <c r="C132" s="1514">
        <v>90015</v>
      </c>
      <c r="D132" s="837" t="s">
        <v>43</v>
      </c>
      <c r="E132" s="1514">
        <v>2011</v>
      </c>
      <c r="F132" s="1514">
        <v>2012</v>
      </c>
      <c r="G132" s="1525" t="s">
        <v>13</v>
      </c>
      <c r="H132" s="883"/>
      <c r="I132" s="870"/>
      <c r="J132" s="839"/>
      <c r="K132" s="839"/>
      <c r="L132" s="839"/>
      <c r="M132" s="840"/>
      <c r="N132" s="840"/>
      <c r="O132" s="841"/>
      <c r="P132" s="871"/>
    </row>
    <row r="133" spans="1:16" s="10" customFormat="1" ht="15.75">
      <c r="A133" s="1512"/>
      <c r="B133" s="1515"/>
      <c r="C133" s="1515"/>
      <c r="D133" s="843" t="s">
        <v>251</v>
      </c>
      <c r="E133" s="1517"/>
      <c r="F133" s="1517"/>
      <c r="G133" s="1526"/>
      <c r="H133" s="872">
        <f>SUM(I133:O133)</f>
        <v>110000</v>
      </c>
      <c r="I133" s="872"/>
      <c r="J133" s="872"/>
      <c r="K133" s="872">
        <f>SUM(K134:K134)</f>
        <v>20000</v>
      </c>
      <c r="L133" s="872">
        <f>SUM(L134:L134)</f>
        <v>90000</v>
      </c>
      <c r="M133" s="851"/>
      <c r="N133" s="851"/>
      <c r="O133" s="873"/>
      <c r="P133" s="842"/>
    </row>
    <row r="134" spans="1:16" s="10" customFormat="1" ht="15.75" thickBot="1">
      <c r="A134" s="1512"/>
      <c r="B134" s="1515"/>
      <c r="C134" s="1515"/>
      <c r="D134" s="848" t="s">
        <v>195</v>
      </c>
      <c r="E134" s="1515"/>
      <c r="F134" s="1515"/>
      <c r="G134" s="1536"/>
      <c r="H134" s="909">
        <f>SUM(I134:O134)</f>
        <v>110000</v>
      </c>
      <c r="I134" s="850"/>
      <c r="J134" s="850"/>
      <c r="K134" s="850">
        <v>20000</v>
      </c>
      <c r="L134" s="850">
        <v>90000</v>
      </c>
      <c r="M134" s="851"/>
      <c r="N134" s="851"/>
      <c r="O134" s="873"/>
      <c r="P134" s="924"/>
    </row>
    <row r="135" spans="1:16" s="10" customFormat="1" ht="31.5">
      <c r="A135" s="1535">
        <v>32</v>
      </c>
      <c r="B135" s="1514">
        <v>900</v>
      </c>
      <c r="C135" s="1514">
        <v>90015</v>
      </c>
      <c r="D135" s="837" t="s">
        <v>564</v>
      </c>
      <c r="E135" s="1514">
        <v>2011</v>
      </c>
      <c r="F135" s="1514">
        <v>2012</v>
      </c>
      <c r="G135" s="1525" t="s">
        <v>13</v>
      </c>
      <c r="H135" s="883"/>
      <c r="I135" s="870"/>
      <c r="J135" s="839"/>
      <c r="K135" s="839"/>
      <c r="L135" s="839"/>
      <c r="M135" s="840"/>
      <c r="N135" s="840"/>
      <c r="O135" s="841"/>
      <c r="P135" s="871"/>
    </row>
    <row r="136" spans="1:16" s="10" customFormat="1" ht="15.75">
      <c r="A136" s="1512"/>
      <c r="B136" s="1515"/>
      <c r="C136" s="1515"/>
      <c r="D136" s="843" t="s">
        <v>251</v>
      </c>
      <c r="E136" s="1517"/>
      <c r="F136" s="1517"/>
      <c r="G136" s="1526"/>
      <c r="H136" s="872">
        <f>SUM(I136:O136)</f>
        <v>60000</v>
      </c>
      <c r="I136" s="872"/>
      <c r="J136" s="872"/>
      <c r="K136" s="872">
        <f>SUM(K137:K137)</f>
        <v>15000</v>
      </c>
      <c r="L136" s="872">
        <f>SUM(L137:L137)</f>
        <v>45000</v>
      </c>
      <c r="M136" s="851"/>
      <c r="N136" s="851"/>
      <c r="O136" s="873"/>
      <c r="P136" s="842"/>
    </row>
    <row r="137" spans="1:16" s="10" customFormat="1" ht="15.75" thickBot="1">
      <c r="A137" s="1512"/>
      <c r="B137" s="1515"/>
      <c r="C137" s="1515"/>
      <c r="D137" s="848" t="s">
        <v>195</v>
      </c>
      <c r="E137" s="1515"/>
      <c r="F137" s="1515"/>
      <c r="G137" s="1536"/>
      <c r="H137" s="909">
        <f>SUM(I137:O137)</f>
        <v>60000</v>
      </c>
      <c r="I137" s="850"/>
      <c r="J137" s="850"/>
      <c r="K137" s="850">
        <v>15000</v>
      </c>
      <c r="L137" s="850">
        <v>45000</v>
      </c>
      <c r="M137" s="851"/>
      <c r="N137" s="851"/>
      <c r="O137" s="873"/>
      <c r="P137" s="924"/>
    </row>
    <row r="138" spans="1:16" s="10" customFormat="1" ht="15.75">
      <c r="A138" s="1535">
        <v>33</v>
      </c>
      <c r="B138" s="1514">
        <v>900</v>
      </c>
      <c r="C138" s="1514">
        <v>90015</v>
      </c>
      <c r="D138" s="837" t="s">
        <v>44</v>
      </c>
      <c r="E138" s="1514">
        <v>2011</v>
      </c>
      <c r="F138" s="1514">
        <v>2012</v>
      </c>
      <c r="G138" s="1525" t="s">
        <v>13</v>
      </c>
      <c r="H138" s="883"/>
      <c r="I138" s="870"/>
      <c r="J138" s="839"/>
      <c r="K138" s="839"/>
      <c r="L138" s="839"/>
      <c r="M138" s="840"/>
      <c r="N138" s="840"/>
      <c r="O138" s="841"/>
      <c r="P138" s="871"/>
    </row>
    <row r="139" spans="1:16" s="10" customFormat="1" ht="15.75">
      <c r="A139" s="1512"/>
      <c r="B139" s="1515"/>
      <c r="C139" s="1515"/>
      <c r="D139" s="843" t="s">
        <v>251</v>
      </c>
      <c r="E139" s="1517"/>
      <c r="F139" s="1517"/>
      <c r="G139" s="1526"/>
      <c r="H139" s="872">
        <f>SUM(I139:O139)</f>
        <v>105000</v>
      </c>
      <c r="I139" s="872"/>
      <c r="J139" s="872"/>
      <c r="K139" s="872">
        <f>SUM(K140:K140)</f>
        <v>25000</v>
      </c>
      <c r="L139" s="872">
        <f>SUM(L140:L140)</f>
        <v>80000</v>
      </c>
      <c r="M139" s="851"/>
      <c r="N139" s="851"/>
      <c r="O139" s="873"/>
      <c r="P139" s="842"/>
    </row>
    <row r="140" spans="1:16" s="10" customFormat="1" ht="15.75" thickBot="1">
      <c r="A140" s="1512"/>
      <c r="B140" s="1515"/>
      <c r="C140" s="1515"/>
      <c r="D140" s="848" t="s">
        <v>195</v>
      </c>
      <c r="E140" s="1515"/>
      <c r="F140" s="1515"/>
      <c r="G140" s="1536"/>
      <c r="H140" s="909">
        <f>SUM(I140:O140)</f>
        <v>105000</v>
      </c>
      <c r="I140" s="850"/>
      <c r="J140" s="850"/>
      <c r="K140" s="850">
        <v>25000</v>
      </c>
      <c r="L140" s="850">
        <v>80000</v>
      </c>
      <c r="M140" s="851"/>
      <c r="N140" s="851"/>
      <c r="O140" s="873"/>
      <c r="P140" s="924"/>
    </row>
    <row r="141" spans="1:16" s="10" customFormat="1" ht="15.75">
      <c r="A141" s="1535">
        <v>34</v>
      </c>
      <c r="B141" s="1514">
        <v>900</v>
      </c>
      <c r="C141" s="1514">
        <v>90015</v>
      </c>
      <c r="D141" s="837" t="s">
        <v>45</v>
      </c>
      <c r="E141" s="1514">
        <v>2009</v>
      </c>
      <c r="F141" s="1514">
        <v>2010</v>
      </c>
      <c r="G141" s="1525" t="s">
        <v>13</v>
      </c>
      <c r="H141" s="883"/>
      <c r="I141" s="870"/>
      <c r="J141" s="839"/>
      <c r="K141" s="839"/>
      <c r="L141" s="839"/>
      <c r="M141" s="840"/>
      <c r="N141" s="840"/>
      <c r="O141" s="841"/>
      <c r="P141" s="871"/>
    </row>
    <row r="142" spans="1:16" s="10" customFormat="1" ht="15.75">
      <c r="A142" s="1512"/>
      <c r="B142" s="1515"/>
      <c r="C142" s="1515"/>
      <c r="D142" s="843" t="s">
        <v>251</v>
      </c>
      <c r="E142" s="1517"/>
      <c r="F142" s="1517"/>
      <c r="G142" s="1526"/>
      <c r="H142" s="872">
        <f>SUM(I142:O142)</f>
        <v>34000</v>
      </c>
      <c r="I142" s="872">
        <f>SUM(I143:I143)</f>
        <v>14000</v>
      </c>
      <c r="J142" s="872">
        <f>SUM(J143:J143)</f>
        <v>20000</v>
      </c>
      <c r="K142" s="872"/>
      <c r="L142" s="850"/>
      <c r="M142" s="851"/>
      <c r="N142" s="851"/>
      <c r="O142" s="873"/>
      <c r="P142" s="842"/>
    </row>
    <row r="143" spans="1:16" s="10" customFormat="1" ht="15.75" thickBot="1">
      <c r="A143" s="1512"/>
      <c r="B143" s="1515"/>
      <c r="C143" s="1515"/>
      <c r="D143" s="848" t="s">
        <v>195</v>
      </c>
      <c r="E143" s="1515"/>
      <c r="F143" s="1515"/>
      <c r="G143" s="1536"/>
      <c r="H143" s="909">
        <f>SUM(I143:O143)</f>
        <v>34000</v>
      </c>
      <c r="I143" s="850">
        <v>14000</v>
      </c>
      <c r="J143" s="850">
        <v>20000</v>
      </c>
      <c r="K143" s="850"/>
      <c r="L143" s="850"/>
      <c r="M143" s="851"/>
      <c r="N143" s="851"/>
      <c r="O143" s="873"/>
      <c r="P143" s="924"/>
    </row>
    <row r="144" spans="1:16" s="10" customFormat="1" ht="15.75">
      <c r="A144" s="1535">
        <v>35</v>
      </c>
      <c r="B144" s="1514">
        <v>900</v>
      </c>
      <c r="C144" s="1514">
        <v>90015</v>
      </c>
      <c r="D144" s="837" t="s">
        <v>540</v>
      </c>
      <c r="E144" s="1514">
        <v>2011</v>
      </c>
      <c r="F144" s="1514">
        <v>2012</v>
      </c>
      <c r="G144" s="1525" t="s">
        <v>13</v>
      </c>
      <c r="H144" s="883"/>
      <c r="I144" s="870"/>
      <c r="J144" s="839"/>
      <c r="K144" s="839"/>
      <c r="L144" s="839"/>
      <c r="M144" s="840"/>
      <c r="N144" s="840"/>
      <c r="O144" s="841"/>
      <c r="P144" s="871"/>
    </row>
    <row r="145" spans="1:16" s="10" customFormat="1" ht="15.75">
      <c r="A145" s="1512"/>
      <c r="B145" s="1515"/>
      <c r="C145" s="1515"/>
      <c r="D145" s="843" t="s">
        <v>251</v>
      </c>
      <c r="E145" s="1517"/>
      <c r="F145" s="1517"/>
      <c r="G145" s="1526"/>
      <c r="H145" s="872">
        <f>SUM(I145:O145)</f>
        <v>35000</v>
      </c>
      <c r="I145" s="872"/>
      <c r="J145" s="872"/>
      <c r="K145" s="872">
        <f>SUM(K146:K146)</f>
        <v>10000</v>
      </c>
      <c r="L145" s="872">
        <f>SUM(L146:L146)</f>
        <v>25000</v>
      </c>
      <c r="M145" s="851"/>
      <c r="N145" s="851"/>
      <c r="O145" s="873"/>
      <c r="P145" s="842"/>
    </row>
    <row r="146" spans="1:16" s="10" customFormat="1" ht="15.75" thickBot="1">
      <c r="A146" s="1512"/>
      <c r="B146" s="1515"/>
      <c r="C146" s="1515"/>
      <c r="D146" s="848" t="s">
        <v>195</v>
      </c>
      <c r="E146" s="1515"/>
      <c r="F146" s="1515"/>
      <c r="G146" s="1536"/>
      <c r="H146" s="909">
        <f>SUM(I146:O146)</f>
        <v>35000</v>
      </c>
      <c r="I146" s="850"/>
      <c r="J146" s="850"/>
      <c r="K146" s="850">
        <v>10000</v>
      </c>
      <c r="L146" s="850">
        <v>25000</v>
      </c>
      <c r="M146" s="851"/>
      <c r="N146" s="851"/>
      <c r="O146" s="873"/>
      <c r="P146" s="924"/>
    </row>
    <row r="147" spans="1:16" s="10" customFormat="1" ht="15.75">
      <c r="A147" s="1535">
        <v>36</v>
      </c>
      <c r="B147" s="1514">
        <v>900</v>
      </c>
      <c r="C147" s="1514">
        <v>90015</v>
      </c>
      <c r="D147" s="837" t="s">
        <v>261</v>
      </c>
      <c r="E147" s="1514">
        <v>2008</v>
      </c>
      <c r="F147" s="1514">
        <v>2010</v>
      </c>
      <c r="G147" s="1525" t="s">
        <v>13</v>
      </c>
      <c r="H147" s="883"/>
      <c r="I147" s="870"/>
      <c r="J147" s="839"/>
      <c r="K147" s="839"/>
      <c r="L147" s="839"/>
      <c r="M147" s="840"/>
      <c r="N147" s="840"/>
      <c r="O147" s="841"/>
      <c r="P147" s="871"/>
    </row>
    <row r="148" spans="1:16" s="1082" customFormat="1" ht="17.25" customHeight="1">
      <c r="A148" s="1512"/>
      <c r="B148" s="1515"/>
      <c r="C148" s="1515"/>
      <c r="D148" s="843" t="s">
        <v>251</v>
      </c>
      <c r="E148" s="1517"/>
      <c r="F148" s="1517"/>
      <c r="G148" s="1526"/>
      <c r="H148" s="872">
        <f>SUM(I148:O148)</f>
        <v>218388</v>
      </c>
      <c r="I148" s="872">
        <f>SUM(I149:I149)</f>
        <v>18388</v>
      </c>
      <c r="J148" s="872">
        <f>SUM(J149:J149)</f>
        <v>200000</v>
      </c>
      <c r="K148" s="872"/>
      <c r="L148" s="872"/>
      <c r="M148" s="851"/>
      <c r="N148" s="851"/>
      <c r="O148" s="873"/>
      <c r="P148" s="842"/>
    </row>
    <row r="149" spans="1:16" s="10" customFormat="1" ht="15.75" thickBot="1">
      <c r="A149" s="1512"/>
      <c r="B149" s="1515"/>
      <c r="C149" s="1515"/>
      <c r="D149" s="848" t="s">
        <v>195</v>
      </c>
      <c r="E149" s="1515"/>
      <c r="F149" s="1515"/>
      <c r="G149" s="1536"/>
      <c r="H149" s="909">
        <f>SUM(I149:O149)</f>
        <v>218388</v>
      </c>
      <c r="I149" s="850">
        <v>18388</v>
      </c>
      <c r="J149" s="850">
        <v>200000</v>
      </c>
      <c r="K149" s="850"/>
      <c r="L149" s="850"/>
      <c r="M149" s="851"/>
      <c r="N149" s="851"/>
      <c r="O149" s="873"/>
      <c r="P149" s="842"/>
    </row>
    <row r="150" spans="1:16" s="10" customFormat="1" ht="17.25" thickBot="1" thickTop="1">
      <c r="A150" s="1527" t="s">
        <v>541</v>
      </c>
      <c r="B150" s="1528"/>
      <c r="C150" s="1528"/>
      <c r="D150" s="1528"/>
      <c r="E150" s="1528"/>
      <c r="F150" s="1528"/>
      <c r="G150" s="1528"/>
      <c r="H150" s="934">
        <f aca="true" t="shared" si="9" ref="H150:P150">H152</f>
        <v>6062340</v>
      </c>
      <c r="I150" s="934">
        <f t="shared" si="9"/>
        <v>154885</v>
      </c>
      <c r="J150" s="934">
        <f t="shared" si="9"/>
        <v>1796305</v>
      </c>
      <c r="K150" s="934">
        <f t="shared" si="9"/>
        <v>4111150</v>
      </c>
      <c r="L150" s="934">
        <f t="shared" si="9"/>
        <v>0</v>
      </c>
      <c r="M150" s="934">
        <f t="shared" si="9"/>
        <v>0</v>
      </c>
      <c r="N150" s="934">
        <f t="shared" si="9"/>
        <v>0</v>
      </c>
      <c r="O150" s="934">
        <f t="shared" si="9"/>
        <v>0</v>
      </c>
      <c r="P150" s="1095">
        <f t="shared" si="9"/>
        <v>0</v>
      </c>
    </row>
    <row r="151" spans="1:16" s="10" customFormat="1" ht="50.25" customHeight="1">
      <c r="A151" s="1535">
        <v>37</v>
      </c>
      <c r="B151" s="1514">
        <v>900</v>
      </c>
      <c r="C151" s="1514">
        <v>90095</v>
      </c>
      <c r="D151" s="837" t="s">
        <v>565</v>
      </c>
      <c r="E151" s="1514">
        <v>2009</v>
      </c>
      <c r="F151" s="1514">
        <v>2011</v>
      </c>
      <c r="G151" s="1525" t="s">
        <v>13</v>
      </c>
      <c r="H151" s="883"/>
      <c r="I151" s="870"/>
      <c r="J151" s="839"/>
      <c r="K151" s="839"/>
      <c r="L151" s="839"/>
      <c r="M151" s="840"/>
      <c r="N151" s="840"/>
      <c r="O151" s="841"/>
      <c r="P151" s="871"/>
    </row>
    <row r="152" spans="1:16" s="10" customFormat="1" ht="15.75">
      <c r="A152" s="1512"/>
      <c r="B152" s="1515"/>
      <c r="C152" s="1515"/>
      <c r="D152" s="843" t="s">
        <v>251</v>
      </c>
      <c r="E152" s="1517"/>
      <c r="F152" s="1517"/>
      <c r="G152" s="1526"/>
      <c r="H152" s="872">
        <f>SUM(I152:O152)</f>
        <v>6062340</v>
      </c>
      <c r="I152" s="845">
        <f>SUM(I153:I155)</f>
        <v>154885</v>
      </c>
      <c r="J152" s="845">
        <f>SUM(J153:J155)</f>
        <v>1796305</v>
      </c>
      <c r="K152" s="845">
        <f>SUM(K153:K155)</f>
        <v>4111150</v>
      </c>
      <c r="L152" s="845"/>
      <c r="M152" s="845"/>
      <c r="N152" s="851"/>
      <c r="O152" s="873"/>
      <c r="P152" s="842"/>
    </row>
    <row r="153" spans="1:16" s="10" customFormat="1" ht="15">
      <c r="A153" s="1512"/>
      <c r="B153" s="1515"/>
      <c r="C153" s="1515"/>
      <c r="D153" s="884" t="s">
        <v>195</v>
      </c>
      <c r="E153" s="1515"/>
      <c r="F153" s="1515"/>
      <c r="G153" s="1536"/>
      <c r="H153" s="909">
        <f>SUM(I153:O153)</f>
        <v>80000</v>
      </c>
      <c r="I153" s="875">
        <v>80000</v>
      </c>
      <c r="J153" s="850"/>
      <c r="K153" s="850"/>
      <c r="L153" s="850"/>
      <c r="M153" s="851"/>
      <c r="N153" s="851"/>
      <c r="O153" s="873"/>
      <c r="P153" s="842"/>
    </row>
    <row r="154" spans="1:16" s="10" customFormat="1" ht="15">
      <c r="A154" s="1512"/>
      <c r="B154" s="1515"/>
      <c r="C154" s="1515"/>
      <c r="D154" s="848" t="s">
        <v>294</v>
      </c>
      <c r="E154" s="1515"/>
      <c r="F154" s="1515"/>
      <c r="G154" s="1536"/>
      <c r="H154" s="909">
        <f>SUM(I154:O154)</f>
        <v>5033989</v>
      </c>
      <c r="I154" s="875">
        <v>12652</v>
      </c>
      <c r="J154" s="850">
        <v>1526859</v>
      </c>
      <c r="K154" s="850">
        <v>3494478</v>
      </c>
      <c r="L154" s="850"/>
      <c r="M154" s="851"/>
      <c r="N154" s="851"/>
      <c r="O154" s="873"/>
      <c r="P154" s="876">
        <v>0.85</v>
      </c>
    </row>
    <row r="155" spans="1:16" s="10" customFormat="1" ht="15.75" thickBot="1">
      <c r="A155" s="1522"/>
      <c r="B155" s="1523"/>
      <c r="C155" s="1523"/>
      <c r="D155" s="877" t="s">
        <v>67</v>
      </c>
      <c r="E155" s="1523"/>
      <c r="F155" s="1523"/>
      <c r="G155" s="1562"/>
      <c r="H155" s="926">
        <f>SUM(I155:O155)</f>
        <v>948351</v>
      </c>
      <c r="I155" s="878">
        <v>62233</v>
      </c>
      <c r="J155" s="879">
        <v>269446</v>
      </c>
      <c r="K155" s="879">
        <v>616672</v>
      </c>
      <c r="L155" s="879"/>
      <c r="M155" s="880"/>
      <c r="N155" s="880"/>
      <c r="O155" s="881"/>
      <c r="P155" s="924"/>
    </row>
    <row r="156" spans="1:16" s="10" customFormat="1" ht="15.75">
      <c r="A156" s="1557" t="s">
        <v>118</v>
      </c>
      <c r="B156" s="1544" t="s">
        <v>440</v>
      </c>
      <c r="C156" s="1544" t="s">
        <v>175</v>
      </c>
      <c r="D156" s="1544" t="s">
        <v>0</v>
      </c>
      <c r="E156" s="1547" t="s">
        <v>234</v>
      </c>
      <c r="F156" s="1549"/>
      <c r="G156" s="1544" t="s">
        <v>176</v>
      </c>
      <c r="H156" s="1544" t="s">
        <v>238</v>
      </c>
      <c r="I156" s="1547" t="s">
        <v>1</v>
      </c>
      <c r="J156" s="1548"/>
      <c r="K156" s="1548"/>
      <c r="L156" s="1548"/>
      <c r="M156" s="1548"/>
      <c r="N156" s="1548"/>
      <c r="O156" s="1549"/>
      <c r="P156" s="1550" t="s">
        <v>248</v>
      </c>
    </row>
    <row r="157" spans="1:16" s="10" customFormat="1" ht="15.75">
      <c r="A157" s="1558"/>
      <c r="B157" s="1545"/>
      <c r="C157" s="1545"/>
      <c r="D157" s="1545"/>
      <c r="E157" s="1560"/>
      <c r="F157" s="1561"/>
      <c r="G157" s="1545"/>
      <c r="H157" s="1545"/>
      <c r="I157" s="1553" t="s">
        <v>532</v>
      </c>
      <c r="J157" s="1553" t="s">
        <v>533</v>
      </c>
      <c r="K157" s="1554" t="s">
        <v>249</v>
      </c>
      <c r="L157" s="1555"/>
      <c r="M157" s="1555"/>
      <c r="N157" s="1555"/>
      <c r="O157" s="1556"/>
      <c r="P157" s="1551"/>
    </row>
    <row r="158" spans="1:16" s="10" customFormat="1" ht="32.25" customHeight="1" thickBot="1">
      <c r="A158" s="1559"/>
      <c r="B158" s="1546"/>
      <c r="C158" s="1546"/>
      <c r="D158" s="1546"/>
      <c r="E158" s="901" t="s">
        <v>2</v>
      </c>
      <c r="F158" s="901" t="s">
        <v>3</v>
      </c>
      <c r="G158" s="1546"/>
      <c r="H158" s="1546"/>
      <c r="I158" s="1546"/>
      <c r="J158" s="1546"/>
      <c r="K158" s="902">
        <v>2011</v>
      </c>
      <c r="L158" s="903">
        <v>2012</v>
      </c>
      <c r="M158" s="903">
        <v>2013</v>
      </c>
      <c r="N158" s="903">
        <v>2014</v>
      </c>
      <c r="O158" s="904" t="s">
        <v>534</v>
      </c>
      <c r="P158" s="1552"/>
    </row>
    <row r="159" spans="1:16" s="10" customFormat="1" ht="15.75" thickBot="1">
      <c r="A159" s="927">
        <v>1</v>
      </c>
      <c r="B159" s="928">
        <v>2</v>
      </c>
      <c r="C159" s="928">
        <v>3</v>
      </c>
      <c r="D159" s="928">
        <v>4</v>
      </c>
      <c r="E159" s="929">
        <v>5</v>
      </c>
      <c r="F159" s="929">
        <v>6</v>
      </c>
      <c r="G159" s="929">
        <v>7</v>
      </c>
      <c r="H159" s="930">
        <v>8</v>
      </c>
      <c r="I159" s="929">
        <v>9</v>
      </c>
      <c r="J159" s="928">
        <v>10</v>
      </c>
      <c r="K159" s="928">
        <v>11</v>
      </c>
      <c r="L159" s="928">
        <v>12</v>
      </c>
      <c r="M159" s="928">
        <v>13</v>
      </c>
      <c r="N159" s="928">
        <v>14</v>
      </c>
      <c r="O159" s="931">
        <v>15</v>
      </c>
      <c r="P159" s="932">
        <v>16</v>
      </c>
    </row>
    <row r="160" spans="1:16" s="10" customFormat="1" ht="17.25" thickBot="1" thickTop="1">
      <c r="A160" s="1520" t="s">
        <v>15</v>
      </c>
      <c r="B160" s="1521"/>
      <c r="C160" s="1521"/>
      <c r="D160" s="1521"/>
      <c r="E160" s="1521"/>
      <c r="F160" s="1521"/>
      <c r="G160" s="1521"/>
      <c r="H160" s="833">
        <f>SUM(I160:O160)</f>
        <v>2997000</v>
      </c>
      <c r="I160" s="933">
        <f>SUM(I162,I165,I168,I171)</f>
        <v>47000</v>
      </c>
      <c r="J160" s="933">
        <f aca="true" t="shared" si="10" ref="J160:O160">SUM(J162,J165,J168,J171)</f>
        <v>550000</v>
      </c>
      <c r="K160" s="933">
        <f t="shared" si="10"/>
        <v>1550000</v>
      </c>
      <c r="L160" s="933">
        <f t="shared" si="10"/>
        <v>850000</v>
      </c>
      <c r="M160" s="933">
        <f t="shared" si="10"/>
        <v>0</v>
      </c>
      <c r="N160" s="933">
        <f t="shared" si="10"/>
        <v>0</v>
      </c>
      <c r="O160" s="933">
        <f t="shared" si="10"/>
        <v>0</v>
      </c>
      <c r="P160" s="835"/>
    </row>
    <row r="161" spans="1:16" s="59" customFormat="1" ht="15.75">
      <c r="A161" s="1535">
        <v>38</v>
      </c>
      <c r="B161" s="1538">
        <v>900</v>
      </c>
      <c r="C161" s="1538">
        <v>90095</v>
      </c>
      <c r="D161" s="837" t="s">
        <v>244</v>
      </c>
      <c r="E161" s="1538">
        <v>2007</v>
      </c>
      <c r="F161" s="1538">
        <v>2012</v>
      </c>
      <c r="G161" s="1541" t="s">
        <v>13</v>
      </c>
      <c r="H161" s="883"/>
      <c r="I161" s="1124"/>
      <c r="J161" s="1125"/>
      <c r="K161" s="1125"/>
      <c r="L161" s="1125"/>
      <c r="M161" s="1126"/>
      <c r="N161" s="1126"/>
      <c r="O161" s="1127"/>
      <c r="P161" s="1128"/>
    </row>
    <row r="162" spans="1:16" s="59" customFormat="1" ht="15.75">
      <c r="A162" s="1537"/>
      <c r="B162" s="1539"/>
      <c r="C162" s="1539"/>
      <c r="D162" s="1129" t="s">
        <v>251</v>
      </c>
      <c r="E162" s="1540"/>
      <c r="F162" s="1540"/>
      <c r="G162" s="1542"/>
      <c r="H162" s="872">
        <f>SUM(I162:O162)</f>
        <v>1700000</v>
      </c>
      <c r="I162" s="845"/>
      <c r="J162" s="845"/>
      <c r="K162" s="845">
        <f>SUM(K163:K163)</f>
        <v>850000</v>
      </c>
      <c r="L162" s="845">
        <f>SUM(L163:L163)</f>
        <v>850000</v>
      </c>
      <c r="M162" s="845"/>
      <c r="N162" s="1130"/>
      <c r="O162" s="1131"/>
      <c r="P162" s="1132"/>
    </row>
    <row r="163" spans="1:16" s="59" customFormat="1" ht="15.75" thickBot="1">
      <c r="A163" s="1537"/>
      <c r="B163" s="1539"/>
      <c r="C163" s="1539"/>
      <c r="D163" s="1133" t="s">
        <v>195</v>
      </c>
      <c r="E163" s="1539"/>
      <c r="F163" s="1539"/>
      <c r="G163" s="1543"/>
      <c r="H163" s="909">
        <f>SUM(I163:O163)</f>
        <v>1700000</v>
      </c>
      <c r="I163" s="1134"/>
      <c r="J163" s="874"/>
      <c r="K163" s="874">
        <v>850000</v>
      </c>
      <c r="L163" s="874">
        <v>850000</v>
      </c>
      <c r="M163" s="1130"/>
      <c r="N163" s="1130"/>
      <c r="O163" s="1131"/>
      <c r="P163" s="1132"/>
    </row>
    <row r="164" spans="1:16" s="10" customFormat="1" ht="31.5">
      <c r="A164" s="1535">
        <v>39</v>
      </c>
      <c r="B164" s="1514">
        <v>900</v>
      </c>
      <c r="C164" s="1514">
        <v>90095</v>
      </c>
      <c r="D164" s="837" t="s">
        <v>542</v>
      </c>
      <c r="E164" s="1514">
        <v>2009</v>
      </c>
      <c r="F164" s="1514">
        <v>2010</v>
      </c>
      <c r="G164" s="1525" t="s">
        <v>13</v>
      </c>
      <c r="H164" s="883"/>
      <c r="I164" s="870"/>
      <c r="J164" s="839"/>
      <c r="K164" s="839"/>
      <c r="L164" s="839"/>
      <c r="M164" s="840"/>
      <c r="N164" s="840"/>
      <c r="O164" s="841"/>
      <c r="P164" s="871"/>
    </row>
    <row r="165" spans="1:16" s="10" customFormat="1" ht="15.75">
      <c r="A165" s="1512"/>
      <c r="B165" s="1515"/>
      <c r="C165" s="1515"/>
      <c r="D165" s="843" t="s">
        <v>251</v>
      </c>
      <c r="E165" s="1517"/>
      <c r="F165" s="1517"/>
      <c r="G165" s="1526"/>
      <c r="H165" s="872">
        <f>SUM(I165:O165)</f>
        <v>67000</v>
      </c>
      <c r="I165" s="845">
        <f>SUM(I166:I166)</f>
        <v>17000</v>
      </c>
      <c r="J165" s="845">
        <f>SUM(J166:J166)</f>
        <v>50000</v>
      </c>
      <c r="K165" s="845"/>
      <c r="L165" s="845"/>
      <c r="M165" s="845"/>
      <c r="N165" s="851"/>
      <c r="O165" s="873"/>
      <c r="P165" s="842"/>
    </row>
    <row r="166" spans="1:16" s="10" customFormat="1" ht="15.75" thickBot="1">
      <c r="A166" s="1512"/>
      <c r="B166" s="1515"/>
      <c r="C166" s="1515"/>
      <c r="D166" s="848" t="s">
        <v>195</v>
      </c>
      <c r="E166" s="1515"/>
      <c r="F166" s="1515"/>
      <c r="G166" s="1536"/>
      <c r="H166" s="909">
        <f>SUM(I166:O166)</f>
        <v>67000</v>
      </c>
      <c r="I166" s="875">
        <v>17000</v>
      </c>
      <c r="J166" s="850">
        <v>50000</v>
      </c>
      <c r="K166" s="850"/>
      <c r="L166" s="850"/>
      <c r="M166" s="851"/>
      <c r="N166" s="851"/>
      <c r="O166" s="873"/>
      <c r="P166" s="842"/>
    </row>
    <row r="167" spans="1:16" s="10" customFormat="1" ht="15.75">
      <c r="A167" s="1535">
        <v>40</v>
      </c>
      <c r="B167" s="1514">
        <v>900</v>
      </c>
      <c r="C167" s="1514">
        <v>90095</v>
      </c>
      <c r="D167" s="837" t="s">
        <v>543</v>
      </c>
      <c r="E167" s="1514">
        <v>2009</v>
      </c>
      <c r="F167" s="1514">
        <v>2011</v>
      </c>
      <c r="G167" s="1525" t="s">
        <v>13</v>
      </c>
      <c r="H167" s="883"/>
      <c r="I167" s="870"/>
      <c r="J167" s="839"/>
      <c r="K167" s="839"/>
      <c r="L167" s="839"/>
      <c r="M167" s="840"/>
      <c r="N167" s="840"/>
      <c r="O167" s="841"/>
      <c r="P167" s="871"/>
    </row>
    <row r="168" spans="1:16" s="10" customFormat="1" ht="15.75">
      <c r="A168" s="1512"/>
      <c r="B168" s="1515"/>
      <c r="C168" s="1515"/>
      <c r="D168" s="843" t="s">
        <v>251</v>
      </c>
      <c r="E168" s="1517"/>
      <c r="F168" s="1517"/>
      <c r="G168" s="1526"/>
      <c r="H168" s="872">
        <f>SUM(I168:O168)</f>
        <v>800000</v>
      </c>
      <c r="I168" s="845"/>
      <c r="J168" s="845">
        <f>SUM(J169:J169)</f>
        <v>100000</v>
      </c>
      <c r="K168" s="845">
        <f>SUM(K169:K169)</f>
        <v>700000</v>
      </c>
      <c r="L168" s="845"/>
      <c r="M168" s="845"/>
      <c r="N168" s="851"/>
      <c r="O168" s="873"/>
      <c r="P168" s="842"/>
    </row>
    <row r="169" spans="1:16" s="10" customFormat="1" ht="15.75" thickBot="1">
      <c r="A169" s="1512"/>
      <c r="B169" s="1515"/>
      <c r="C169" s="1515"/>
      <c r="D169" s="848" t="s">
        <v>195</v>
      </c>
      <c r="E169" s="1515"/>
      <c r="F169" s="1515"/>
      <c r="G169" s="1536"/>
      <c r="H169" s="909">
        <f>SUM(I169:O169)</f>
        <v>800000</v>
      </c>
      <c r="I169" s="875"/>
      <c r="J169" s="850">
        <v>100000</v>
      </c>
      <c r="K169" s="850">
        <v>700000</v>
      </c>
      <c r="L169" s="850"/>
      <c r="M169" s="851"/>
      <c r="N169" s="851"/>
      <c r="O169" s="873"/>
      <c r="P169" s="842"/>
    </row>
    <row r="170" spans="1:16" s="10" customFormat="1" ht="15.75">
      <c r="A170" s="1535">
        <v>41</v>
      </c>
      <c r="B170" s="1514">
        <v>900</v>
      </c>
      <c r="C170" s="1514">
        <v>90095</v>
      </c>
      <c r="D170" s="837" t="s">
        <v>544</v>
      </c>
      <c r="E170" s="1514">
        <v>2009</v>
      </c>
      <c r="F170" s="1514">
        <v>2010</v>
      </c>
      <c r="G170" s="1525" t="s">
        <v>13</v>
      </c>
      <c r="H170" s="883"/>
      <c r="I170" s="870"/>
      <c r="J170" s="839"/>
      <c r="K170" s="839"/>
      <c r="L170" s="839"/>
      <c r="M170" s="840"/>
      <c r="N170" s="840"/>
      <c r="O170" s="841"/>
      <c r="P170" s="871"/>
    </row>
    <row r="171" spans="1:16" s="10" customFormat="1" ht="15.75">
      <c r="A171" s="1512"/>
      <c r="B171" s="1515"/>
      <c r="C171" s="1515"/>
      <c r="D171" s="843" t="s">
        <v>251</v>
      </c>
      <c r="E171" s="1517"/>
      <c r="F171" s="1517"/>
      <c r="G171" s="1526"/>
      <c r="H171" s="872">
        <f>SUM(I171:O171)</f>
        <v>430000</v>
      </c>
      <c r="I171" s="845">
        <f>SUM(I172:I172)</f>
        <v>30000</v>
      </c>
      <c r="J171" s="845">
        <f>SUM(J172:J172)</f>
        <v>400000</v>
      </c>
      <c r="K171" s="845"/>
      <c r="L171" s="845"/>
      <c r="M171" s="845"/>
      <c r="N171" s="851"/>
      <c r="O171" s="873"/>
      <c r="P171" s="842"/>
    </row>
    <row r="172" spans="1:16" s="10" customFormat="1" ht="15.75" thickBot="1">
      <c r="A172" s="1512"/>
      <c r="B172" s="1515"/>
      <c r="C172" s="1515"/>
      <c r="D172" s="848" t="s">
        <v>195</v>
      </c>
      <c r="E172" s="1515"/>
      <c r="F172" s="1515"/>
      <c r="G172" s="1536"/>
      <c r="H172" s="909">
        <f>SUM(I172:O172)</f>
        <v>430000</v>
      </c>
      <c r="I172" s="875">
        <v>30000</v>
      </c>
      <c r="J172" s="850">
        <v>400000</v>
      </c>
      <c r="K172" s="850"/>
      <c r="L172" s="850"/>
      <c r="M172" s="851"/>
      <c r="N172" s="851"/>
      <c r="O172" s="873"/>
      <c r="P172" s="842"/>
    </row>
    <row r="173" spans="1:16" s="10" customFormat="1" ht="17.25" thickBot="1" thickTop="1">
      <c r="A173" s="1527" t="s">
        <v>7</v>
      </c>
      <c r="B173" s="1528"/>
      <c r="C173" s="1528"/>
      <c r="D173" s="1528"/>
      <c r="E173" s="1528"/>
      <c r="F173" s="1528"/>
      <c r="G173" s="1528"/>
      <c r="H173" s="833">
        <f>SUM(I173:O173)</f>
        <v>1968077</v>
      </c>
      <c r="I173" s="934">
        <f>I175</f>
        <v>968077</v>
      </c>
      <c r="J173" s="934">
        <f aca="true" t="shared" si="11" ref="J173:O173">J175</f>
        <v>0</v>
      </c>
      <c r="K173" s="934">
        <f t="shared" si="11"/>
        <v>500000</v>
      </c>
      <c r="L173" s="934">
        <f t="shared" si="11"/>
        <v>500000</v>
      </c>
      <c r="M173" s="934">
        <f t="shared" si="11"/>
        <v>0</v>
      </c>
      <c r="N173" s="934">
        <f t="shared" si="11"/>
        <v>0</v>
      </c>
      <c r="O173" s="934">
        <f t="shared" si="11"/>
        <v>0</v>
      </c>
      <c r="P173" s="935"/>
    </row>
    <row r="174" spans="1:16" s="10" customFormat="1" ht="15.75">
      <c r="A174" s="1529">
        <v>42</v>
      </c>
      <c r="B174" s="1532">
        <v>921</v>
      </c>
      <c r="C174" s="936"/>
      <c r="D174" s="937" t="s">
        <v>46</v>
      </c>
      <c r="E174" s="936"/>
      <c r="F174" s="936"/>
      <c r="G174" s="936"/>
      <c r="H174" s="855"/>
      <c r="I174" s="856"/>
      <c r="J174" s="856"/>
      <c r="K174" s="856"/>
      <c r="L174" s="856"/>
      <c r="M174" s="856"/>
      <c r="N174" s="856"/>
      <c r="O174" s="856"/>
      <c r="P174" s="938"/>
    </row>
    <row r="175" spans="1:16" s="10" customFormat="1" ht="15.75">
      <c r="A175" s="1530"/>
      <c r="B175" s="1533"/>
      <c r="C175" s="939">
        <v>92109</v>
      </c>
      <c r="D175" s="843" t="s">
        <v>251</v>
      </c>
      <c r="E175" s="940">
        <v>2008</v>
      </c>
      <c r="F175" s="939">
        <v>2012</v>
      </c>
      <c r="G175" s="939" t="s">
        <v>13</v>
      </c>
      <c r="H175" s="872">
        <f>SUM(I175:O175)</f>
        <v>1968077</v>
      </c>
      <c r="I175" s="862">
        <f>SUM(I176)</f>
        <v>968077</v>
      </c>
      <c r="J175" s="862"/>
      <c r="K175" s="862">
        <f>SUM(K176)</f>
        <v>500000</v>
      </c>
      <c r="L175" s="862">
        <f>SUM(L176)</f>
        <v>500000</v>
      </c>
      <c r="M175" s="861"/>
      <c r="N175" s="861"/>
      <c r="O175" s="861"/>
      <c r="P175" s="941"/>
    </row>
    <row r="176" spans="1:16" s="10" customFormat="1" ht="16.5" thickBot="1">
      <c r="A176" s="1531"/>
      <c r="B176" s="1534"/>
      <c r="C176" s="942"/>
      <c r="D176" s="943" t="s">
        <v>195</v>
      </c>
      <c r="E176" s="942"/>
      <c r="F176" s="942"/>
      <c r="G176" s="942"/>
      <c r="H176" s="944">
        <f>SUM(I176:O176)</f>
        <v>1968077</v>
      </c>
      <c r="I176" s="945">
        <v>968077</v>
      </c>
      <c r="J176" s="945"/>
      <c r="K176" s="945">
        <v>500000</v>
      </c>
      <c r="L176" s="945">
        <v>500000</v>
      </c>
      <c r="M176" s="946"/>
      <c r="N176" s="946"/>
      <c r="O176" s="946"/>
      <c r="P176" s="947"/>
    </row>
    <row r="177" spans="1:16" s="10" customFormat="1" ht="17.25" thickBot="1" thickTop="1">
      <c r="A177" s="1520" t="s">
        <v>16</v>
      </c>
      <c r="B177" s="1521"/>
      <c r="C177" s="1521"/>
      <c r="D177" s="1521"/>
      <c r="E177" s="1521"/>
      <c r="F177" s="1521"/>
      <c r="G177" s="1521"/>
      <c r="H177" s="833">
        <f>SUM(I177:O177)</f>
        <v>3200239</v>
      </c>
      <c r="I177" s="852">
        <f>SUM(I179,I183,I186,I189,I193)</f>
        <v>140239</v>
      </c>
      <c r="J177" s="852">
        <f aca="true" t="shared" si="12" ref="J177:O177">SUM(J179,J183,J186,J189,J193)</f>
        <v>1720000</v>
      </c>
      <c r="K177" s="852">
        <f t="shared" si="12"/>
        <v>840000</v>
      </c>
      <c r="L177" s="852">
        <f t="shared" si="12"/>
        <v>500000</v>
      </c>
      <c r="M177" s="852">
        <f t="shared" si="12"/>
        <v>0</v>
      </c>
      <c r="N177" s="852">
        <f t="shared" si="12"/>
        <v>0</v>
      </c>
      <c r="O177" s="852">
        <f t="shared" si="12"/>
        <v>0</v>
      </c>
      <c r="P177" s="835"/>
    </row>
    <row r="178" spans="1:16" s="10" customFormat="1" ht="15.75">
      <c r="A178" s="1511">
        <v>43</v>
      </c>
      <c r="B178" s="1514">
        <v>921</v>
      </c>
      <c r="C178" s="1514">
        <v>92109</v>
      </c>
      <c r="D178" s="837" t="s">
        <v>523</v>
      </c>
      <c r="E178" s="1514">
        <v>2006</v>
      </c>
      <c r="F178" s="1514">
        <v>2010</v>
      </c>
      <c r="G178" s="1525" t="s">
        <v>177</v>
      </c>
      <c r="H178" s="883"/>
      <c r="I178" s="870"/>
      <c r="J178" s="839"/>
      <c r="K178" s="839"/>
      <c r="L178" s="839"/>
      <c r="M178" s="839"/>
      <c r="N178" s="839"/>
      <c r="O178" s="893"/>
      <c r="P178" s="871"/>
    </row>
    <row r="179" spans="1:16" s="10" customFormat="1" ht="15.75">
      <c r="A179" s="1512"/>
      <c r="B179" s="1515"/>
      <c r="C179" s="1515"/>
      <c r="D179" s="843" t="s">
        <v>251</v>
      </c>
      <c r="E179" s="1517"/>
      <c r="F179" s="1517"/>
      <c r="G179" s="1526"/>
      <c r="H179" s="872">
        <f>SUM(H180:H181)</f>
        <v>1059760</v>
      </c>
      <c r="I179" s="872">
        <f>SUM(I180:I181)</f>
        <v>39760</v>
      </c>
      <c r="J179" s="872">
        <f>SUM(J180:J181)</f>
        <v>1020000</v>
      </c>
      <c r="K179" s="872"/>
      <c r="L179" s="850"/>
      <c r="M179" s="850"/>
      <c r="N179" s="850"/>
      <c r="O179" s="948"/>
      <c r="P179" s="842"/>
    </row>
    <row r="180" spans="1:16" s="10" customFormat="1" ht="15">
      <c r="A180" s="1512"/>
      <c r="B180" s="1515"/>
      <c r="C180" s="1515"/>
      <c r="D180" s="884" t="s">
        <v>195</v>
      </c>
      <c r="E180" s="1517"/>
      <c r="F180" s="1517"/>
      <c r="G180" s="1526"/>
      <c r="H180" s="909">
        <f>SUM(I180:O180)</f>
        <v>559760</v>
      </c>
      <c r="I180" s="875">
        <v>39760</v>
      </c>
      <c r="J180" s="875">
        <v>520000</v>
      </c>
      <c r="K180" s="875"/>
      <c r="L180" s="850"/>
      <c r="M180" s="850"/>
      <c r="N180" s="850"/>
      <c r="O180" s="948"/>
      <c r="P180" s="842"/>
    </row>
    <row r="181" spans="1:16" s="10" customFormat="1" ht="15.75" thickBot="1">
      <c r="A181" s="1512"/>
      <c r="B181" s="1515"/>
      <c r="C181" s="1515"/>
      <c r="D181" s="848" t="s">
        <v>294</v>
      </c>
      <c r="E181" s="1517"/>
      <c r="F181" s="1517"/>
      <c r="G181" s="1526"/>
      <c r="H181" s="909">
        <f>SUM(I181:O181)</f>
        <v>500000</v>
      </c>
      <c r="I181" s="875"/>
      <c r="J181" s="850">
        <v>500000</v>
      </c>
      <c r="K181" s="850"/>
      <c r="L181" s="850"/>
      <c r="M181" s="850"/>
      <c r="N181" s="850"/>
      <c r="O181" s="948"/>
      <c r="P181" s="876">
        <v>0.5</v>
      </c>
    </row>
    <row r="182" spans="1:16" s="10" customFormat="1" ht="15.75">
      <c r="A182" s="1511">
        <v>44</v>
      </c>
      <c r="B182" s="1514">
        <v>921</v>
      </c>
      <c r="C182" s="1514">
        <v>92109</v>
      </c>
      <c r="D182" s="837" t="s">
        <v>545</v>
      </c>
      <c r="E182" s="1514">
        <v>2009</v>
      </c>
      <c r="F182" s="1514">
        <v>2011</v>
      </c>
      <c r="G182" s="1525" t="s">
        <v>177</v>
      </c>
      <c r="H182" s="883"/>
      <c r="I182" s="870"/>
      <c r="J182" s="839"/>
      <c r="K182" s="839"/>
      <c r="L182" s="839"/>
      <c r="M182" s="839"/>
      <c r="N182" s="839"/>
      <c r="O182" s="893"/>
      <c r="P182" s="871"/>
    </row>
    <row r="183" spans="1:16" s="10" customFormat="1" ht="15.75">
      <c r="A183" s="1512"/>
      <c r="B183" s="1515"/>
      <c r="C183" s="1515"/>
      <c r="D183" s="843" t="s">
        <v>251</v>
      </c>
      <c r="E183" s="1517"/>
      <c r="F183" s="1517"/>
      <c r="G183" s="1526"/>
      <c r="H183" s="872">
        <f>SUM(H184:H184)</f>
        <v>540000</v>
      </c>
      <c r="I183" s="872">
        <f>SUM(I184:I184)</f>
        <v>40000</v>
      </c>
      <c r="J183" s="872"/>
      <c r="K183" s="872">
        <f>SUM(K184:K184)</f>
        <v>500000</v>
      </c>
      <c r="L183" s="850"/>
      <c r="M183" s="850"/>
      <c r="N183" s="850"/>
      <c r="O183" s="948"/>
      <c r="P183" s="842"/>
    </row>
    <row r="184" spans="1:16" s="10" customFormat="1" ht="15.75" thickBot="1">
      <c r="A184" s="1512"/>
      <c r="B184" s="1515"/>
      <c r="C184" s="1515"/>
      <c r="D184" s="884" t="s">
        <v>195</v>
      </c>
      <c r="E184" s="1517"/>
      <c r="F184" s="1517"/>
      <c r="G184" s="1526"/>
      <c r="H184" s="909">
        <f>SUM(I184:O184)</f>
        <v>540000</v>
      </c>
      <c r="I184" s="875">
        <v>40000</v>
      </c>
      <c r="J184" s="875"/>
      <c r="K184" s="875">
        <v>500000</v>
      </c>
      <c r="L184" s="850"/>
      <c r="M184" s="850"/>
      <c r="N184" s="850"/>
      <c r="O184" s="948"/>
      <c r="P184" s="842"/>
    </row>
    <row r="185" spans="1:16" s="10" customFormat="1" ht="15.75">
      <c r="A185" s="1511">
        <v>45</v>
      </c>
      <c r="B185" s="1514">
        <v>921</v>
      </c>
      <c r="C185" s="1514">
        <v>92109</v>
      </c>
      <c r="D185" s="837" t="s">
        <v>546</v>
      </c>
      <c r="E185" s="1514">
        <v>2010</v>
      </c>
      <c r="F185" s="1514">
        <v>2012</v>
      </c>
      <c r="G185" s="1525" t="s">
        <v>177</v>
      </c>
      <c r="H185" s="883"/>
      <c r="I185" s="870"/>
      <c r="J185" s="839"/>
      <c r="K185" s="839"/>
      <c r="L185" s="839"/>
      <c r="M185" s="839"/>
      <c r="N185" s="839"/>
      <c r="O185" s="893"/>
      <c r="P185" s="871"/>
    </row>
    <row r="186" spans="1:16" s="10" customFormat="1" ht="15.75">
      <c r="A186" s="1512"/>
      <c r="B186" s="1515"/>
      <c r="C186" s="1515"/>
      <c r="D186" s="843" t="s">
        <v>251</v>
      </c>
      <c r="E186" s="1517"/>
      <c r="F186" s="1517"/>
      <c r="G186" s="1526"/>
      <c r="H186" s="872">
        <f>SUM(H187:H187)</f>
        <v>540000</v>
      </c>
      <c r="I186" s="872"/>
      <c r="J186" s="872"/>
      <c r="K186" s="872">
        <f>SUM(K187:K187)</f>
        <v>40000</v>
      </c>
      <c r="L186" s="872">
        <f>SUM(L187:L187)</f>
        <v>500000</v>
      </c>
      <c r="M186" s="850"/>
      <c r="N186" s="850"/>
      <c r="O186" s="948"/>
      <c r="P186" s="842"/>
    </row>
    <row r="187" spans="1:16" s="10" customFormat="1" ht="15.75" thickBot="1">
      <c r="A187" s="1512"/>
      <c r="B187" s="1515"/>
      <c r="C187" s="1515"/>
      <c r="D187" s="884" t="s">
        <v>195</v>
      </c>
      <c r="E187" s="1517"/>
      <c r="F187" s="1517"/>
      <c r="G187" s="1526"/>
      <c r="H187" s="909">
        <f>SUM(I187:O187)</f>
        <v>540000</v>
      </c>
      <c r="I187" s="875"/>
      <c r="J187" s="875"/>
      <c r="K187" s="875">
        <v>40000</v>
      </c>
      <c r="L187" s="850">
        <v>500000</v>
      </c>
      <c r="M187" s="850"/>
      <c r="N187" s="850"/>
      <c r="O187" s="948"/>
      <c r="P187" s="842"/>
    </row>
    <row r="188" spans="1:16" s="10" customFormat="1" ht="15.75">
      <c r="A188" s="1511">
        <v>46</v>
      </c>
      <c r="B188" s="1514">
        <v>921</v>
      </c>
      <c r="C188" s="1514">
        <v>92109</v>
      </c>
      <c r="D188" s="837" t="s">
        <v>525</v>
      </c>
      <c r="E188" s="1514">
        <v>2008</v>
      </c>
      <c r="F188" s="1514">
        <v>2010</v>
      </c>
      <c r="G188" s="1514" t="s">
        <v>13</v>
      </c>
      <c r="H188" s="883"/>
      <c r="I188" s="839"/>
      <c r="J188" s="839"/>
      <c r="K188" s="839"/>
      <c r="L188" s="839"/>
      <c r="M188" s="839"/>
      <c r="N188" s="839"/>
      <c r="O188" s="893"/>
      <c r="P188" s="1508" t="s">
        <v>568</v>
      </c>
    </row>
    <row r="189" spans="1:16" s="10" customFormat="1" ht="15.75">
      <c r="A189" s="1512"/>
      <c r="B189" s="1515"/>
      <c r="C189" s="1515"/>
      <c r="D189" s="843" t="s">
        <v>251</v>
      </c>
      <c r="E189" s="1517"/>
      <c r="F189" s="1517"/>
      <c r="G189" s="1517"/>
      <c r="H189" s="872">
        <f>SUM(H190:H191)</f>
        <v>725479</v>
      </c>
      <c r="I189" s="872">
        <f>SUM(I190:I191)</f>
        <v>25479</v>
      </c>
      <c r="J189" s="872">
        <f>SUM(J190:J191)</f>
        <v>700000</v>
      </c>
      <c r="K189" s="872"/>
      <c r="L189" s="949"/>
      <c r="M189" s="949"/>
      <c r="N189" s="949"/>
      <c r="O189" s="950"/>
      <c r="P189" s="1509"/>
    </row>
    <row r="190" spans="1:16" s="10" customFormat="1" ht="15">
      <c r="A190" s="1512"/>
      <c r="B190" s="1515"/>
      <c r="C190" s="1515"/>
      <c r="D190" s="884" t="s">
        <v>195</v>
      </c>
      <c r="E190" s="1517"/>
      <c r="F190" s="1517"/>
      <c r="G190" s="1517"/>
      <c r="H190" s="909">
        <f>SUM(I190:O190)</f>
        <v>438504</v>
      </c>
      <c r="I190" s="850">
        <v>25479</v>
      </c>
      <c r="J190" s="850">
        <v>413025</v>
      </c>
      <c r="K190" s="850"/>
      <c r="L190" s="949"/>
      <c r="M190" s="949"/>
      <c r="N190" s="949"/>
      <c r="O190" s="950"/>
      <c r="P190" s="1509"/>
    </row>
    <row r="191" spans="1:16" s="10" customFormat="1" ht="15.75" thickBot="1">
      <c r="A191" s="1522"/>
      <c r="B191" s="1523"/>
      <c r="C191" s="1523"/>
      <c r="D191" s="877" t="s">
        <v>294</v>
      </c>
      <c r="E191" s="1524"/>
      <c r="F191" s="1524"/>
      <c r="G191" s="1524"/>
      <c r="H191" s="926">
        <f>SUM(I191:O191)</f>
        <v>286975</v>
      </c>
      <c r="I191" s="879"/>
      <c r="J191" s="879">
        <v>286975</v>
      </c>
      <c r="K191" s="879"/>
      <c r="L191" s="879"/>
      <c r="M191" s="879"/>
      <c r="N191" s="879"/>
      <c r="O191" s="1096"/>
      <c r="P191" s="1510"/>
    </row>
    <row r="192" spans="1:16" s="10" customFormat="1" ht="31.5">
      <c r="A192" s="1511">
        <v>47</v>
      </c>
      <c r="B192" s="1514">
        <v>921</v>
      </c>
      <c r="C192" s="1514">
        <v>92109</v>
      </c>
      <c r="D192" s="837" t="s">
        <v>566</v>
      </c>
      <c r="E192" s="1514">
        <v>2009</v>
      </c>
      <c r="F192" s="1514">
        <v>2011</v>
      </c>
      <c r="G192" s="1514" t="s">
        <v>13</v>
      </c>
      <c r="H192" s="883"/>
      <c r="I192" s="839"/>
      <c r="J192" s="839"/>
      <c r="K192" s="839"/>
      <c r="L192" s="839"/>
      <c r="M192" s="839"/>
      <c r="N192" s="839"/>
      <c r="O192" s="893"/>
      <c r="P192" s="1508"/>
    </row>
    <row r="193" spans="1:16" s="10" customFormat="1" ht="15.75">
      <c r="A193" s="1512"/>
      <c r="B193" s="1515"/>
      <c r="C193" s="1515"/>
      <c r="D193" s="843" t="s">
        <v>251</v>
      </c>
      <c r="E193" s="1517"/>
      <c r="F193" s="1517"/>
      <c r="G193" s="1517"/>
      <c r="H193" s="872">
        <f>SUM(H194:H194)</f>
        <v>335000</v>
      </c>
      <c r="I193" s="872">
        <f>SUM(I194:I194)</f>
        <v>35000</v>
      </c>
      <c r="J193" s="872"/>
      <c r="K193" s="872">
        <f>SUM(K194:K194)</f>
        <v>300000</v>
      </c>
      <c r="L193" s="949"/>
      <c r="M193" s="949"/>
      <c r="N193" s="949"/>
      <c r="O193" s="950"/>
      <c r="P193" s="1509"/>
    </row>
    <row r="194" spans="1:16" s="10" customFormat="1" ht="15.75" thickBot="1">
      <c r="A194" s="1513"/>
      <c r="B194" s="1516"/>
      <c r="C194" s="1516"/>
      <c r="D194" s="1097" t="s">
        <v>195</v>
      </c>
      <c r="E194" s="1518"/>
      <c r="F194" s="1518"/>
      <c r="G194" s="1518"/>
      <c r="H194" s="944">
        <f>SUM(I194:O194)</f>
        <v>335000</v>
      </c>
      <c r="I194" s="952">
        <v>35000</v>
      </c>
      <c r="J194" s="952"/>
      <c r="K194" s="952">
        <v>300000</v>
      </c>
      <c r="L194" s="1098"/>
      <c r="M194" s="1098"/>
      <c r="N194" s="1098"/>
      <c r="O194" s="1099"/>
      <c r="P194" s="1519"/>
    </row>
    <row r="195" spans="1:16" s="10" customFormat="1" ht="17.25" thickBot="1" thickTop="1">
      <c r="A195" s="1520" t="s">
        <v>547</v>
      </c>
      <c r="B195" s="1521"/>
      <c r="C195" s="1521"/>
      <c r="D195" s="1521"/>
      <c r="E195" s="1521"/>
      <c r="F195" s="1521"/>
      <c r="G195" s="1521"/>
      <c r="H195" s="833">
        <f>SUM(I195:O195)</f>
        <v>2008322</v>
      </c>
      <c r="I195" s="852">
        <f>SUM(I197,I201)</f>
        <v>28322</v>
      </c>
      <c r="J195" s="852">
        <f aca="true" t="shared" si="13" ref="J195:O195">SUM(J197,J201)</f>
        <v>1500000</v>
      </c>
      <c r="K195" s="852">
        <f t="shared" si="13"/>
        <v>480000</v>
      </c>
      <c r="L195" s="852">
        <f t="shared" si="13"/>
        <v>0</v>
      </c>
      <c r="M195" s="852">
        <f t="shared" si="13"/>
        <v>0</v>
      </c>
      <c r="N195" s="852">
        <f t="shared" si="13"/>
        <v>0</v>
      </c>
      <c r="O195" s="852">
        <f t="shared" si="13"/>
        <v>0</v>
      </c>
      <c r="P195" s="835"/>
    </row>
    <row r="196" spans="1:16" s="10" customFormat="1" ht="31.5">
      <c r="A196" s="1511">
        <v>48</v>
      </c>
      <c r="B196" s="1514">
        <v>926</v>
      </c>
      <c r="C196" s="1514">
        <v>92601</v>
      </c>
      <c r="D196" s="837" t="s">
        <v>548</v>
      </c>
      <c r="E196" s="1514">
        <v>2009</v>
      </c>
      <c r="F196" s="1514">
        <v>2010</v>
      </c>
      <c r="G196" s="1514" t="s">
        <v>13</v>
      </c>
      <c r="H196" s="883"/>
      <c r="I196" s="839"/>
      <c r="J196" s="839"/>
      <c r="K196" s="839"/>
      <c r="L196" s="839"/>
      <c r="M196" s="839"/>
      <c r="N196" s="839"/>
      <c r="O196" s="893"/>
      <c r="P196" s="1508"/>
    </row>
    <row r="197" spans="1:16" s="10" customFormat="1" ht="15.75">
      <c r="A197" s="1512"/>
      <c r="B197" s="1515"/>
      <c r="C197" s="1515"/>
      <c r="D197" s="843" t="s">
        <v>251</v>
      </c>
      <c r="E197" s="1517"/>
      <c r="F197" s="1517"/>
      <c r="G197" s="1517"/>
      <c r="H197" s="872">
        <f>SUM(H198:H199)</f>
        <v>1525000</v>
      </c>
      <c r="I197" s="872">
        <f>SUM(I198:I199)</f>
        <v>25000</v>
      </c>
      <c r="J197" s="872">
        <f>SUM(J198:J199)</f>
        <v>1500000</v>
      </c>
      <c r="K197" s="872"/>
      <c r="L197" s="949"/>
      <c r="M197" s="949"/>
      <c r="N197" s="949"/>
      <c r="O197" s="950"/>
      <c r="P197" s="1509"/>
    </row>
    <row r="198" spans="1:16" s="10" customFormat="1" ht="15">
      <c r="A198" s="1512"/>
      <c r="B198" s="1515"/>
      <c r="C198" s="1515"/>
      <c r="D198" s="884" t="s">
        <v>195</v>
      </c>
      <c r="E198" s="1517"/>
      <c r="F198" s="1517"/>
      <c r="G198" s="1517"/>
      <c r="H198" s="909">
        <f>SUM(I198:O198)</f>
        <v>859000</v>
      </c>
      <c r="I198" s="850">
        <v>25000</v>
      </c>
      <c r="J198" s="850">
        <v>834000</v>
      </c>
      <c r="K198" s="850"/>
      <c r="L198" s="949"/>
      <c r="M198" s="949"/>
      <c r="N198" s="949"/>
      <c r="O198" s="950"/>
      <c r="P198" s="1509"/>
    </row>
    <row r="199" spans="1:16" s="10" customFormat="1" ht="15.75" thickBot="1">
      <c r="A199" s="1522"/>
      <c r="B199" s="1523"/>
      <c r="C199" s="1523"/>
      <c r="D199" s="877" t="s">
        <v>67</v>
      </c>
      <c r="E199" s="1524"/>
      <c r="F199" s="1524"/>
      <c r="G199" s="1524"/>
      <c r="H199" s="926">
        <f>SUM(I199:O199)</f>
        <v>666000</v>
      </c>
      <c r="I199" s="879"/>
      <c r="J199" s="879">
        <v>666000</v>
      </c>
      <c r="K199" s="879"/>
      <c r="L199" s="879"/>
      <c r="M199" s="879"/>
      <c r="N199" s="879"/>
      <c r="O199" s="1096"/>
      <c r="P199" s="1510"/>
    </row>
    <row r="200" spans="1:16" s="10" customFormat="1" ht="36" customHeight="1">
      <c r="A200" s="1511">
        <v>49</v>
      </c>
      <c r="B200" s="1514">
        <v>926</v>
      </c>
      <c r="C200" s="1514">
        <v>92604</v>
      </c>
      <c r="D200" s="837" t="s">
        <v>554</v>
      </c>
      <c r="E200" s="1514">
        <v>2009</v>
      </c>
      <c r="F200" s="1514">
        <v>2011</v>
      </c>
      <c r="G200" s="1514" t="s">
        <v>13</v>
      </c>
      <c r="H200" s="883"/>
      <c r="I200" s="839"/>
      <c r="J200" s="839"/>
      <c r="K200" s="839"/>
      <c r="L200" s="839"/>
      <c r="M200" s="839"/>
      <c r="N200" s="839"/>
      <c r="O200" s="893"/>
      <c r="P200" s="1508"/>
    </row>
    <row r="201" spans="1:16" s="10" customFormat="1" ht="15.75">
      <c r="A201" s="1512"/>
      <c r="B201" s="1515"/>
      <c r="C201" s="1515"/>
      <c r="D201" s="843" t="s">
        <v>251</v>
      </c>
      <c r="E201" s="1517"/>
      <c r="F201" s="1517"/>
      <c r="G201" s="1517"/>
      <c r="H201" s="872">
        <f>SUM(H202:H202)</f>
        <v>483322</v>
      </c>
      <c r="I201" s="872">
        <f>SUM(I202:I202)</f>
        <v>3322</v>
      </c>
      <c r="J201" s="872"/>
      <c r="K201" s="872">
        <f>SUM(K202:K202)</f>
        <v>480000</v>
      </c>
      <c r="L201" s="949"/>
      <c r="M201" s="949"/>
      <c r="N201" s="949"/>
      <c r="O201" s="950"/>
      <c r="P201" s="1509"/>
    </row>
    <row r="202" spans="1:16" s="10" customFormat="1" ht="15.75" thickBot="1">
      <c r="A202" s="1513"/>
      <c r="B202" s="1516"/>
      <c r="C202" s="1516"/>
      <c r="D202" s="1097" t="s">
        <v>195</v>
      </c>
      <c r="E202" s="1518"/>
      <c r="F202" s="1518"/>
      <c r="G202" s="1518"/>
      <c r="H202" s="944">
        <f>SUM(I202:O202)</f>
        <v>483322</v>
      </c>
      <c r="I202" s="952">
        <v>3322</v>
      </c>
      <c r="J202" s="952"/>
      <c r="K202" s="952">
        <v>480000</v>
      </c>
      <c r="L202" s="1098"/>
      <c r="M202" s="1098"/>
      <c r="N202" s="1098"/>
      <c r="O202" s="1099"/>
      <c r="P202" s="1519"/>
    </row>
    <row r="203" spans="1:18" s="10" customFormat="1" ht="18.75" thickTop="1">
      <c r="A203" s="955"/>
      <c r="B203" s="956"/>
      <c r="C203" s="956"/>
      <c r="D203" s="957" t="s">
        <v>245</v>
      </c>
      <c r="E203" s="956"/>
      <c r="F203" s="956"/>
      <c r="G203" s="956"/>
      <c r="H203" s="958">
        <f>SUM(I203:O203)</f>
        <v>152979705</v>
      </c>
      <c r="I203" s="959">
        <f aca="true" t="shared" si="14" ref="I203:O203">SUM(I8,I12,I31,I40,I52,I57,I70,I77,I117,I122,I150,I160,I173,I177,I195)</f>
        <v>15675559</v>
      </c>
      <c r="J203" s="959">
        <f t="shared" si="14"/>
        <v>36447243</v>
      </c>
      <c r="K203" s="959">
        <f t="shared" si="14"/>
        <v>43814150</v>
      </c>
      <c r="L203" s="959">
        <f t="shared" si="14"/>
        <v>31392753</v>
      </c>
      <c r="M203" s="959">
        <f t="shared" si="14"/>
        <v>16650000</v>
      </c>
      <c r="N203" s="959">
        <f t="shared" si="14"/>
        <v>5500000</v>
      </c>
      <c r="O203" s="959">
        <f t="shared" si="14"/>
        <v>3500000</v>
      </c>
      <c r="P203" s="960"/>
      <c r="R203" s="92"/>
    </row>
    <row r="204" spans="1:18" s="10" customFormat="1" ht="18">
      <c r="A204" s="961"/>
      <c r="B204" s="956"/>
      <c r="C204" s="956"/>
      <c r="D204" s="962" t="s">
        <v>68</v>
      </c>
      <c r="E204" s="956"/>
      <c r="F204" s="956"/>
      <c r="G204" s="956"/>
      <c r="H204" s="963">
        <f>SUM(I204:O204)</f>
        <v>89796612</v>
      </c>
      <c r="I204" s="964">
        <f>SUM(I11,I15,I19,I22,I26,I29,I34,I38,I43,I46,I55,I60,I64,I68,I73,I76,I80,I84,I88,I92,I96,I100,I103,I110,I113,I116)+SUM(I120,I125,I128,I131,I134,I137,I140,I143,I146,I149,I153,I163,I166,I169,I172,I176,I180,I184,I187,I190,I194,I198,I202)</f>
        <v>14408437</v>
      </c>
      <c r="J204" s="964">
        <f aca="true" t="shared" si="15" ref="J204:O204">SUM(J11,J15,J19,J22,J26,J29,J34,J38,J43,J46,J55,J60,J64,J68,J73,J76,J80,J84,J88,J92,J96,J100,J103,J110,J113,J116)+SUM(J120,J125,J128,J131,J134,J137,J140,J143,J146,J149,J153,J163,J166,J169,J172,J176,J180,J184,J187,J190,J194,J198,J202)</f>
        <v>22852522</v>
      </c>
      <c r="K204" s="964">
        <f t="shared" si="15"/>
        <v>21788300</v>
      </c>
      <c r="L204" s="964">
        <f t="shared" si="15"/>
        <v>17472353</v>
      </c>
      <c r="M204" s="964">
        <f t="shared" si="15"/>
        <v>11025000</v>
      </c>
      <c r="N204" s="964">
        <f t="shared" si="15"/>
        <v>1375000</v>
      </c>
      <c r="O204" s="964">
        <f t="shared" si="15"/>
        <v>875000</v>
      </c>
      <c r="P204" s="960"/>
      <c r="R204" s="92"/>
    </row>
    <row r="205" spans="1:18" s="972" customFormat="1" ht="18">
      <c r="A205" s="961"/>
      <c r="B205" s="956"/>
      <c r="C205" s="956"/>
      <c r="D205" s="962" t="s">
        <v>69</v>
      </c>
      <c r="E205" s="956"/>
      <c r="F205" s="956"/>
      <c r="G205" s="956"/>
      <c r="H205" s="963">
        <f>SUM(I205:O205)</f>
        <v>59317527</v>
      </c>
      <c r="I205" s="964">
        <f aca="true" t="shared" si="16" ref="I205:O205">SUM(I16,I23,I35,I39,I56,I61,I65,I69,I81,I85,I89,I93,I97,I121,I154,I181,I191)</f>
        <v>805657</v>
      </c>
      <c r="J205" s="964">
        <f t="shared" si="16"/>
        <v>10807292</v>
      </c>
      <c r="K205" s="964">
        <f t="shared" si="16"/>
        <v>21409178</v>
      </c>
      <c r="L205" s="964">
        <f t="shared" si="16"/>
        <v>13920400</v>
      </c>
      <c r="M205" s="964">
        <f t="shared" si="16"/>
        <v>5625000</v>
      </c>
      <c r="N205" s="964">
        <f t="shared" si="16"/>
        <v>4125000</v>
      </c>
      <c r="O205" s="964">
        <f t="shared" si="16"/>
        <v>2625000</v>
      </c>
      <c r="P205" s="965"/>
      <c r="R205" s="92"/>
    </row>
    <row r="206" spans="1:18" s="972" customFormat="1" ht="18.75" thickBot="1">
      <c r="A206" s="966"/>
      <c r="B206" s="967"/>
      <c r="C206" s="967"/>
      <c r="D206" s="968" t="s">
        <v>70</v>
      </c>
      <c r="E206" s="967"/>
      <c r="F206" s="967"/>
      <c r="G206" s="967"/>
      <c r="H206" s="969">
        <f>SUM(I206:O206)</f>
        <v>3865566</v>
      </c>
      <c r="I206" s="970">
        <f aca="true" t="shared" si="17" ref="I206:O206">SUM(I30,I47,I155,I199)</f>
        <v>461465</v>
      </c>
      <c r="J206" s="970">
        <f t="shared" si="17"/>
        <v>2787429</v>
      </c>
      <c r="K206" s="970">
        <f t="shared" si="17"/>
        <v>616672</v>
      </c>
      <c r="L206" s="970">
        <f t="shared" si="17"/>
        <v>0</v>
      </c>
      <c r="M206" s="970">
        <f t="shared" si="17"/>
        <v>0</v>
      </c>
      <c r="N206" s="970">
        <f t="shared" si="17"/>
        <v>0</v>
      </c>
      <c r="O206" s="970">
        <f t="shared" si="17"/>
        <v>0</v>
      </c>
      <c r="P206" s="971"/>
      <c r="R206" s="92"/>
    </row>
    <row r="207" spans="1:18" s="972" customFormat="1" ht="12.75">
      <c r="A207" s="973"/>
      <c r="B207" s="973"/>
      <c r="C207" s="973"/>
      <c r="D207" s="976"/>
      <c r="E207" s="974"/>
      <c r="F207" s="974"/>
      <c r="G207" s="974"/>
      <c r="H207" s="975"/>
      <c r="I207" s="975"/>
      <c r="J207" s="975"/>
      <c r="K207" s="975"/>
      <c r="L207" s="975"/>
      <c r="M207" s="975"/>
      <c r="N207" s="975"/>
      <c r="O207" s="975"/>
      <c r="P207" s="977"/>
      <c r="R207" s="977"/>
    </row>
    <row r="208" spans="1:16" s="972" customFormat="1" ht="12.75">
      <c r="A208" s="973"/>
      <c r="B208" s="973"/>
      <c r="C208" s="973"/>
      <c r="D208" s="976"/>
      <c r="E208" s="974"/>
      <c r="F208" s="974"/>
      <c r="G208" s="974"/>
      <c r="H208" s="975"/>
      <c r="I208" s="975"/>
      <c r="J208" s="975"/>
      <c r="K208" s="975"/>
      <c r="L208" s="975"/>
      <c r="M208" s="975"/>
      <c r="N208" s="975"/>
      <c r="O208" s="975"/>
      <c r="P208" s="977"/>
    </row>
    <row r="209" spans="1:16" s="972" customFormat="1" ht="12.75">
      <c r="A209" s="973"/>
      <c r="B209" s="973"/>
      <c r="C209" s="973"/>
      <c r="D209" s="976"/>
      <c r="E209" s="974"/>
      <c r="F209" s="974"/>
      <c r="G209" s="974"/>
      <c r="H209" s="975"/>
      <c r="I209" s="975"/>
      <c r="J209" s="975"/>
      <c r="K209" s="975"/>
      <c r="L209" s="975"/>
      <c r="M209" s="975"/>
      <c r="N209" s="975"/>
      <c r="O209" s="975"/>
      <c r="P209" s="977"/>
    </row>
    <row r="211" spans="8:15" ht="26.25">
      <c r="H211" s="774"/>
      <c r="J211" s="774"/>
      <c r="K211" s="774"/>
      <c r="L211" s="774"/>
      <c r="M211" s="774"/>
      <c r="N211" s="774"/>
      <c r="O211" s="774"/>
    </row>
    <row r="212" spans="8:15" ht="26.25">
      <c r="H212" s="774"/>
      <c r="J212" s="774"/>
      <c r="K212" s="774"/>
      <c r="L212" s="774"/>
      <c r="M212" s="774"/>
      <c r="N212" s="774"/>
      <c r="O212" s="774"/>
    </row>
    <row r="213" spans="8:15" ht="26.25">
      <c r="H213" s="774"/>
      <c r="J213" s="774"/>
      <c r="K213" s="774"/>
      <c r="L213" s="774"/>
      <c r="M213" s="774"/>
      <c r="N213" s="774"/>
      <c r="O213" s="774"/>
    </row>
    <row r="214" spans="8:15" ht="26.25">
      <c r="H214" s="774"/>
      <c r="J214" s="774"/>
      <c r="K214" s="774"/>
      <c r="L214" s="774"/>
      <c r="M214" s="774"/>
      <c r="N214" s="774"/>
      <c r="O214" s="774"/>
    </row>
  </sheetData>
  <sheetProtection/>
  <mergeCells count="363">
    <mergeCell ref="P15:P16"/>
    <mergeCell ref="A86:A89"/>
    <mergeCell ref="B86:B89"/>
    <mergeCell ref="C86:C89"/>
    <mergeCell ref="F9:F11"/>
    <mergeCell ref="E20:E23"/>
    <mergeCell ref="F20:F23"/>
    <mergeCell ref="C13:C16"/>
    <mergeCell ref="E13:E16"/>
    <mergeCell ref="A40:G40"/>
    <mergeCell ref="O1:P1"/>
    <mergeCell ref="A2:P2"/>
    <mergeCell ref="A3:P3"/>
    <mergeCell ref="A8:G8"/>
    <mergeCell ref="D4:D6"/>
    <mergeCell ref="E4:F5"/>
    <mergeCell ref="A4:A6"/>
    <mergeCell ref="P4:P6"/>
    <mergeCell ref="I5:I6"/>
    <mergeCell ref="J5:J6"/>
    <mergeCell ref="G138:G140"/>
    <mergeCell ref="A132:A134"/>
    <mergeCell ref="B132:B134"/>
    <mergeCell ref="C132:C134"/>
    <mergeCell ref="A41:A43"/>
    <mergeCell ref="F98:F100"/>
    <mergeCell ref="G98:G100"/>
    <mergeCell ref="A52:G52"/>
    <mergeCell ref="A53:A56"/>
    <mergeCell ref="B53:B56"/>
    <mergeCell ref="A12:G12"/>
    <mergeCell ref="B4:B6"/>
    <mergeCell ref="C4:C6"/>
    <mergeCell ref="G101:G103"/>
    <mergeCell ref="F101:F103"/>
    <mergeCell ref="B20:B23"/>
    <mergeCell ref="C20:C23"/>
    <mergeCell ref="G20:G23"/>
    <mergeCell ref="A20:A23"/>
    <mergeCell ref="A24:A26"/>
    <mergeCell ref="K5:O5"/>
    <mergeCell ref="I4:O4"/>
    <mergeCell ref="G4:G6"/>
    <mergeCell ref="H4:H6"/>
    <mergeCell ref="A9:A11"/>
    <mergeCell ref="B9:B11"/>
    <mergeCell ref="C9:C11"/>
    <mergeCell ref="E9:E11"/>
    <mergeCell ref="G9:G11"/>
    <mergeCell ref="B24:B26"/>
    <mergeCell ref="C24:C26"/>
    <mergeCell ref="E24:E26"/>
    <mergeCell ref="F24:F26"/>
    <mergeCell ref="P48:P50"/>
    <mergeCell ref="I49:I50"/>
    <mergeCell ref="J49:J50"/>
    <mergeCell ref="K49:O49"/>
    <mergeCell ref="G24:G26"/>
    <mergeCell ref="A31:G31"/>
    <mergeCell ref="G58:G61"/>
    <mergeCell ref="E62:E65"/>
    <mergeCell ref="F62:F65"/>
    <mergeCell ref="G62:G65"/>
    <mergeCell ref="A77:G77"/>
    <mergeCell ref="A78:A81"/>
    <mergeCell ref="B78:B81"/>
    <mergeCell ref="A66:A69"/>
    <mergeCell ref="B66:B69"/>
    <mergeCell ref="C66:C69"/>
    <mergeCell ref="E101:E103"/>
    <mergeCell ref="C98:C100"/>
    <mergeCell ref="E98:E100"/>
    <mergeCell ref="A98:A100"/>
    <mergeCell ref="B98:B100"/>
    <mergeCell ref="A101:A103"/>
    <mergeCell ref="B101:B103"/>
    <mergeCell ref="C101:C103"/>
    <mergeCell ref="B126:B128"/>
    <mergeCell ref="C126:C128"/>
    <mergeCell ref="A117:G117"/>
    <mergeCell ref="A118:A121"/>
    <mergeCell ref="A104:A106"/>
    <mergeCell ref="B104:B106"/>
    <mergeCell ref="G104:G106"/>
    <mergeCell ref="C104:C106"/>
    <mergeCell ref="D104:D106"/>
    <mergeCell ref="E104:F105"/>
    <mergeCell ref="F13:F16"/>
    <mergeCell ref="G13:G16"/>
    <mergeCell ref="A17:A19"/>
    <mergeCell ref="B17:B19"/>
    <mergeCell ref="C17:C19"/>
    <mergeCell ref="E17:E19"/>
    <mergeCell ref="F17:F19"/>
    <mergeCell ref="G17:G19"/>
    <mergeCell ref="A13:A16"/>
    <mergeCell ref="B13:B16"/>
    <mergeCell ref="A27:A30"/>
    <mergeCell ref="B27:B30"/>
    <mergeCell ref="C27:C30"/>
    <mergeCell ref="E27:E30"/>
    <mergeCell ref="F27:F30"/>
    <mergeCell ref="G27:G30"/>
    <mergeCell ref="A32:A35"/>
    <mergeCell ref="B32:B35"/>
    <mergeCell ref="C32:C35"/>
    <mergeCell ref="E32:E35"/>
    <mergeCell ref="F32:F35"/>
    <mergeCell ref="G32:G35"/>
    <mergeCell ref="A36:A39"/>
    <mergeCell ref="B36:B39"/>
    <mergeCell ref="C36:C39"/>
    <mergeCell ref="E36:E39"/>
    <mergeCell ref="F36:F39"/>
    <mergeCell ref="G36:G39"/>
    <mergeCell ref="B41:B43"/>
    <mergeCell ref="C41:C43"/>
    <mergeCell ref="E41:E43"/>
    <mergeCell ref="F41:F43"/>
    <mergeCell ref="G41:G43"/>
    <mergeCell ref="A44:A47"/>
    <mergeCell ref="B44:B47"/>
    <mergeCell ref="C44:C47"/>
    <mergeCell ref="E44:E47"/>
    <mergeCell ref="F44:F47"/>
    <mergeCell ref="G44:G47"/>
    <mergeCell ref="P44:P47"/>
    <mergeCell ref="A48:A50"/>
    <mergeCell ref="B48:B50"/>
    <mergeCell ref="C48:C50"/>
    <mergeCell ref="D48:D50"/>
    <mergeCell ref="E48:F49"/>
    <mergeCell ref="G48:G50"/>
    <mergeCell ref="H48:H50"/>
    <mergeCell ref="I48:O48"/>
    <mergeCell ref="C53:C56"/>
    <mergeCell ref="E53:E56"/>
    <mergeCell ref="F53:F56"/>
    <mergeCell ref="G53:G56"/>
    <mergeCell ref="A57:G57"/>
    <mergeCell ref="A58:A61"/>
    <mergeCell ref="B58:B61"/>
    <mergeCell ref="C58:C61"/>
    <mergeCell ref="E58:E61"/>
    <mergeCell ref="F58:F61"/>
    <mergeCell ref="E66:E69"/>
    <mergeCell ref="F66:F69"/>
    <mergeCell ref="G66:G69"/>
    <mergeCell ref="A62:A65"/>
    <mergeCell ref="B62:B65"/>
    <mergeCell ref="C62:C65"/>
    <mergeCell ref="A70:G70"/>
    <mergeCell ref="B71:B73"/>
    <mergeCell ref="C71:C73"/>
    <mergeCell ref="E71:E73"/>
    <mergeCell ref="F71:F73"/>
    <mergeCell ref="G71:G73"/>
    <mergeCell ref="A71:A73"/>
    <mergeCell ref="A74:A76"/>
    <mergeCell ref="B74:B76"/>
    <mergeCell ref="C74:C76"/>
    <mergeCell ref="E74:E76"/>
    <mergeCell ref="F74:F76"/>
    <mergeCell ref="G74:G76"/>
    <mergeCell ref="C78:C81"/>
    <mergeCell ref="E78:E81"/>
    <mergeCell ref="F78:F81"/>
    <mergeCell ref="G78:G81"/>
    <mergeCell ref="P78:P81"/>
    <mergeCell ref="A82:A85"/>
    <mergeCell ref="B82:B85"/>
    <mergeCell ref="C82:C85"/>
    <mergeCell ref="E82:E85"/>
    <mergeCell ref="F82:F85"/>
    <mergeCell ref="G82:G85"/>
    <mergeCell ref="A90:A93"/>
    <mergeCell ref="B90:B93"/>
    <mergeCell ref="C90:C93"/>
    <mergeCell ref="E90:E93"/>
    <mergeCell ref="F90:F93"/>
    <mergeCell ref="G90:G93"/>
    <mergeCell ref="G86:G89"/>
    <mergeCell ref="E86:E89"/>
    <mergeCell ref="F86:F89"/>
    <mergeCell ref="A94:A97"/>
    <mergeCell ref="B94:B97"/>
    <mergeCell ref="C94:C97"/>
    <mergeCell ref="E94:E97"/>
    <mergeCell ref="F94:F97"/>
    <mergeCell ref="G94:G97"/>
    <mergeCell ref="H104:H106"/>
    <mergeCell ref="I104:O104"/>
    <mergeCell ref="P104:P106"/>
    <mergeCell ref="I105:I106"/>
    <mergeCell ref="J105:J106"/>
    <mergeCell ref="K105:O105"/>
    <mergeCell ref="A108:A110"/>
    <mergeCell ref="B108:B110"/>
    <mergeCell ref="C108:C110"/>
    <mergeCell ref="E108:E110"/>
    <mergeCell ref="F108:F110"/>
    <mergeCell ref="G108:G110"/>
    <mergeCell ref="A111:A113"/>
    <mergeCell ref="B111:B113"/>
    <mergeCell ref="C111:C113"/>
    <mergeCell ref="E111:E113"/>
    <mergeCell ref="F111:F113"/>
    <mergeCell ref="G111:G113"/>
    <mergeCell ref="A114:A116"/>
    <mergeCell ref="B114:B116"/>
    <mergeCell ref="C114:C116"/>
    <mergeCell ref="E114:E116"/>
    <mergeCell ref="F114:F116"/>
    <mergeCell ref="G114:G116"/>
    <mergeCell ref="B118:B121"/>
    <mergeCell ref="C118:C121"/>
    <mergeCell ref="E118:E121"/>
    <mergeCell ref="F118:F121"/>
    <mergeCell ref="G118:G121"/>
    <mergeCell ref="A122:G122"/>
    <mergeCell ref="A123:A125"/>
    <mergeCell ref="B123:B125"/>
    <mergeCell ref="C123:C125"/>
    <mergeCell ref="E123:E125"/>
    <mergeCell ref="F123:F125"/>
    <mergeCell ref="G123:G125"/>
    <mergeCell ref="E126:E128"/>
    <mergeCell ref="F126:F128"/>
    <mergeCell ref="G126:G128"/>
    <mergeCell ref="A129:A131"/>
    <mergeCell ref="B129:B131"/>
    <mergeCell ref="C129:C131"/>
    <mergeCell ref="E129:E131"/>
    <mergeCell ref="F129:F131"/>
    <mergeCell ref="G129:G131"/>
    <mergeCell ref="A126:A128"/>
    <mergeCell ref="F132:F134"/>
    <mergeCell ref="G132:G134"/>
    <mergeCell ref="A135:A137"/>
    <mergeCell ref="B135:B137"/>
    <mergeCell ref="C135:C137"/>
    <mergeCell ref="E135:E137"/>
    <mergeCell ref="F135:F137"/>
    <mergeCell ref="G135:G137"/>
    <mergeCell ref="E132:E134"/>
    <mergeCell ref="E138:E140"/>
    <mergeCell ref="F138:F140"/>
    <mergeCell ref="A141:A143"/>
    <mergeCell ref="B141:B143"/>
    <mergeCell ref="C141:C143"/>
    <mergeCell ref="E141:E143"/>
    <mergeCell ref="F141:F143"/>
    <mergeCell ref="C138:C140"/>
    <mergeCell ref="A138:A140"/>
    <mergeCell ref="B138:B140"/>
    <mergeCell ref="G141:G143"/>
    <mergeCell ref="A144:A146"/>
    <mergeCell ref="B144:B146"/>
    <mergeCell ref="C144:C146"/>
    <mergeCell ref="E144:E146"/>
    <mergeCell ref="F144:F146"/>
    <mergeCell ref="G144:G146"/>
    <mergeCell ref="A147:A149"/>
    <mergeCell ref="B147:B149"/>
    <mergeCell ref="C147:C149"/>
    <mergeCell ref="E147:E149"/>
    <mergeCell ref="F147:F149"/>
    <mergeCell ref="G147:G149"/>
    <mergeCell ref="A150:G150"/>
    <mergeCell ref="A151:A155"/>
    <mergeCell ref="B151:B155"/>
    <mergeCell ref="C151:C155"/>
    <mergeCell ref="E151:E155"/>
    <mergeCell ref="F151:F155"/>
    <mergeCell ref="G151:G155"/>
    <mergeCell ref="A156:A158"/>
    <mergeCell ref="B156:B158"/>
    <mergeCell ref="C156:C158"/>
    <mergeCell ref="D156:D158"/>
    <mergeCell ref="E156:F157"/>
    <mergeCell ref="G156:G158"/>
    <mergeCell ref="H156:H158"/>
    <mergeCell ref="I156:O156"/>
    <mergeCell ref="P156:P158"/>
    <mergeCell ref="I157:I158"/>
    <mergeCell ref="J157:J158"/>
    <mergeCell ref="K157:O157"/>
    <mergeCell ref="A160:G160"/>
    <mergeCell ref="A161:A163"/>
    <mergeCell ref="B161:B163"/>
    <mergeCell ref="C161:C163"/>
    <mergeCell ref="E161:E163"/>
    <mergeCell ref="F161:F163"/>
    <mergeCell ref="G161:G163"/>
    <mergeCell ref="A164:A166"/>
    <mergeCell ref="B164:B166"/>
    <mergeCell ref="C164:C166"/>
    <mergeCell ref="E164:E166"/>
    <mergeCell ref="F164:F166"/>
    <mergeCell ref="G164:G166"/>
    <mergeCell ref="A167:A169"/>
    <mergeCell ref="B167:B169"/>
    <mergeCell ref="C167:C169"/>
    <mergeCell ref="E167:E169"/>
    <mergeCell ref="F167:F169"/>
    <mergeCell ref="G167:G169"/>
    <mergeCell ref="A170:A172"/>
    <mergeCell ref="B170:B172"/>
    <mergeCell ref="C170:C172"/>
    <mergeCell ref="E170:E172"/>
    <mergeCell ref="F170:F172"/>
    <mergeCell ref="G170:G172"/>
    <mergeCell ref="A173:G173"/>
    <mergeCell ref="A174:A176"/>
    <mergeCell ref="B174:B176"/>
    <mergeCell ref="A177:G177"/>
    <mergeCell ref="A178:A181"/>
    <mergeCell ref="B178:B181"/>
    <mergeCell ref="C178:C181"/>
    <mergeCell ref="E178:E181"/>
    <mergeCell ref="F178:F181"/>
    <mergeCell ref="G178:G181"/>
    <mergeCell ref="A182:A184"/>
    <mergeCell ref="B182:B184"/>
    <mergeCell ref="C182:C184"/>
    <mergeCell ref="E182:E184"/>
    <mergeCell ref="F182:F184"/>
    <mergeCell ref="G182:G184"/>
    <mergeCell ref="C188:C191"/>
    <mergeCell ref="E188:E191"/>
    <mergeCell ref="F188:F191"/>
    <mergeCell ref="G188:G191"/>
    <mergeCell ref="A185:A187"/>
    <mergeCell ref="B185:B187"/>
    <mergeCell ref="C185:C187"/>
    <mergeCell ref="E185:E187"/>
    <mergeCell ref="F185:F187"/>
    <mergeCell ref="G185:G187"/>
    <mergeCell ref="P188:P191"/>
    <mergeCell ref="A192:A194"/>
    <mergeCell ref="B192:B194"/>
    <mergeCell ref="C192:C194"/>
    <mergeCell ref="E192:E194"/>
    <mergeCell ref="F192:F194"/>
    <mergeCell ref="G192:G194"/>
    <mergeCell ref="P192:P194"/>
    <mergeCell ref="A188:A191"/>
    <mergeCell ref="B188:B191"/>
    <mergeCell ref="A195:G195"/>
    <mergeCell ref="A196:A199"/>
    <mergeCell ref="B196:B199"/>
    <mergeCell ref="C196:C199"/>
    <mergeCell ref="E196:E199"/>
    <mergeCell ref="F196:F199"/>
    <mergeCell ref="G196:G199"/>
    <mergeCell ref="P196:P199"/>
    <mergeCell ref="A200:A202"/>
    <mergeCell ref="B200:B202"/>
    <mergeCell ref="C200:C202"/>
    <mergeCell ref="E200:E202"/>
    <mergeCell ref="F200:F202"/>
    <mergeCell ref="G200:G202"/>
    <mergeCell ref="P200:P202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5" r:id="rId1"/>
  <rowBreaks count="3" manualBreakCount="3">
    <brk id="47" max="15" man="1"/>
    <brk id="103" max="15" man="1"/>
    <brk id="15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95"/>
  <sheetViews>
    <sheetView showGridLines="0" view="pageBreakPreview" zoomScaleNormal="90" zoomScaleSheetLayoutView="100" zoomScalePageLayoutView="0" workbookViewId="0" topLeftCell="E1">
      <selection activeCell="M1" sqref="M1"/>
    </sheetView>
  </sheetViews>
  <sheetFormatPr defaultColWidth="9.00390625" defaultRowHeight="12"/>
  <cols>
    <col min="1" max="1" width="4.375" style="35" bestFit="1" customWidth="1"/>
    <col min="2" max="2" width="4.875" style="1068" bestFit="1" customWidth="1"/>
    <col min="3" max="3" width="8.25390625" style="1068" bestFit="1" customWidth="1"/>
    <col min="4" max="4" width="35.00390625" style="35" customWidth="1"/>
    <col min="5" max="5" width="41.75390625" style="1069" customWidth="1"/>
    <col min="6" max="6" width="19.875" style="1069" customWidth="1"/>
    <col min="7" max="7" width="11.625" style="35" customWidth="1"/>
    <col min="8" max="8" width="11.875" style="35" bestFit="1" customWidth="1"/>
    <col min="9" max="10" width="17.125" style="35" customWidth="1"/>
    <col min="11" max="11" width="17.875" style="35" bestFit="1" customWidth="1"/>
    <col min="12" max="12" width="21.125" style="35" customWidth="1"/>
    <col min="13" max="14" width="14.875" style="35" customWidth="1"/>
    <col min="15" max="15" width="12.875" style="35" bestFit="1" customWidth="1"/>
    <col min="16" max="16" width="15.25390625" style="35" bestFit="1" customWidth="1"/>
    <col min="17" max="17" width="11.75390625" style="35" bestFit="1" customWidth="1"/>
    <col min="18" max="18" width="10.25390625" style="35" bestFit="1" customWidth="1"/>
    <col min="19" max="16384" width="9.125" style="35" customWidth="1"/>
  </cols>
  <sheetData>
    <row r="1" spans="11:12" ht="59.25" customHeight="1">
      <c r="K1" s="1614" t="s">
        <v>636</v>
      </c>
      <c r="L1" s="1614"/>
    </row>
    <row r="2" spans="1:12" ht="94.5" customHeight="1">
      <c r="A2" s="1646" t="s">
        <v>590</v>
      </c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</row>
    <row r="3" spans="1:12" ht="13.5" thickBot="1">
      <c r="A3" s="1615"/>
      <c r="B3" s="1615"/>
      <c r="C3" s="1615"/>
      <c r="D3" s="1615"/>
      <c r="E3" s="1615"/>
      <c r="F3" s="1615"/>
      <c r="G3" s="1615"/>
      <c r="H3" s="1615"/>
      <c r="L3" s="525" t="s">
        <v>116</v>
      </c>
    </row>
    <row r="4" spans="1:12" ht="48.75" customHeight="1">
      <c r="A4" s="1623" t="s">
        <v>118</v>
      </c>
      <c r="B4" s="1625" t="s">
        <v>440</v>
      </c>
      <c r="C4" s="1625" t="s">
        <v>495</v>
      </c>
      <c r="D4" s="1616" t="s">
        <v>271</v>
      </c>
      <c r="E4" s="1627" t="s">
        <v>272</v>
      </c>
      <c r="F4" s="1649" t="s">
        <v>604</v>
      </c>
      <c r="G4" s="1616" t="s">
        <v>496</v>
      </c>
      <c r="H4" s="1616" t="s">
        <v>497</v>
      </c>
      <c r="I4" s="1618" t="s">
        <v>273</v>
      </c>
      <c r="J4" s="1620" t="s">
        <v>498</v>
      </c>
      <c r="K4" s="1621"/>
      <c r="L4" s="1622"/>
    </row>
    <row r="5" spans="1:12" ht="45.75" customHeight="1">
      <c r="A5" s="1624"/>
      <c r="B5" s="1626"/>
      <c r="C5" s="1626"/>
      <c r="D5" s="1617"/>
      <c r="E5" s="1628"/>
      <c r="F5" s="1650"/>
      <c r="G5" s="1617"/>
      <c r="H5" s="1617"/>
      <c r="I5" s="1619"/>
      <c r="J5" s="1072" t="s">
        <v>499</v>
      </c>
      <c r="K5" s="1072" t="s">
        <v>500</v>
      </c>
      <c r="L5" s="1073" t="s">
        <v>501</v>
      </c>
    </row>
    <row r="6" spans="1:12" s="572" customFormat="1" ht="15" customHeight="1" thickBot="1">
      <c r="A6" s="1074">
        <v>1</v>
      </c>
      <c r="B6" s="1075">
        <v>2</v>
      </c>
      <c r="C6" s="1075">
        <v>3</v>
      </c>
      <c r="D6" s="1075">
        <v>4</v>
      </c>
      <c r="E6" s="1076">
        <v>5</v>
      </c>
      <c r="F6" s="1076">
        <v>6</v>
      </c>
      <c r="G6" s="1075">
        <v>7</v>
      </c>
      <c r="H6" s="1075">
        <v>8</v>
      </c>
      <c r="I6" s="1075">
        <v>9</v>
      </c>
      <c r="J6" s="1075">
        <v>10</v>
      </c>
      <c r="K6" s="1075">
        <v>11</v>
      </c>
      <c r="L6" s="1077">
        <v>12</v>
      </c>
    </row>
    <row r="7" spans="1:12" s="1078" customFormat="1" ht="14.25" customHeight="1">
      <c r="A7" s="1609" t="s">
        <v>155</v>
      </c>
      <c r="B7" s="1612">
        <v>600</v>
      </c>
      <c r="C7" s="1612">
        <v>60013</v>
      </c>
      <c r="D7" s="1629" t="s">
        <v>515</v>
      </c>
      <c r="E7" s="1630" t="s">
        <v>241</v>
      </c>
      <c r="F7" s="1651" t="s">
        <v>605</v>
      </c>
      <c r="G7" s="1632">
        <v>2010</v>
      </c>
      <c r="H7" s="1634">
        <f>SUM(J8:J9)</f>
        <v>2640000</v>
      </c>
      <c r="I7" s="1100" t="s">
        <v>512</v>
      </c>
      <c r="J7" s="1277">
        <f>SUM(J8:J10)</f>
        <v>2640000</v>
      </c>
      <c r="K7" s="1277">
        <f>SUM(K8:K10)</f>
        <v>0</v>
      </c>
      <c r="L7" s="1278">
        <f>SUM(L8:L10)</f>
        <v>0</v>
      </c>
    </row>
    <row r="8" spans="1:12" s="1078" customFormat="1" ht="14.25" customHeight="1">
      <c r="A8" s="1610"/>
      <c r="B8" s="1603"/>
      <c r="C8" s="1603"/>
      <c r="D8" s="1605"/>
      <c r="E8" s="1604"/>
      <c r="F8" s="1607"/>
      <c r="G8" s="1600"/>
      <c r="H8" s="1601"/>
      <c r="I8" s="1101" t="s">
        <v>195</v>
      </c>
      <c r="J8" s="1273">
        <v>396000</v>
      </c>
      <c r="K8" s="1273">
        <v>0</v>
      </c>
      <c r="L8" s="1274">
        <v>0</v>
      </c>
    </row>
    <row r="9" spans="1:12" s="1078" customFormat="1" ht="14.25" customHeight="1">
      <c r="A9" s="1610"/>
      <c r="B9" s="1603"/>
      <c r="C9" s="1603"/>
      <c r="D9" s="1605"/>
      <c r="E9" s="1604"/>
      <c r="F9" s="1607"/>
      <c r="G9" s="1600"/>
      <c r="H9" s="1601"/>
      <c r="I9" s="1101" t="s">
        <v>294</v>
      </c>
      <c r="J9" s="1273">
        <v>2244000</v>
      </c>
      <c r="K9" s="1273">
        <v>0</v>
      </c>
      <c r="L9" s="1274">
        <v>0</v>
      </c>
    </row>
    <row r="10" spans="1:12" s="1078" customFormat="1" ht="14.25" customHeight="1" thickBot="1">
      <c r="A10" s="1611"/>
      <c r="B10" s="1613"/>
      <c r="C10" s="1613"/>
      <c r="D10" s="1606"/>
      <c r="E10" s="1631"/>
      <c r="F10" s="1608"/>
      <c r="G10" s="1633"/>
      <c r="H10" s="1635"/>
      <c r="I10" s="1102" t="s">
        <v>513</v>
      </c>
      <c r="J10" s="1279">
        <v>0</v>
      </c>
      <c r="K10" s="1279">
        <v>0</v>
      </c>
      <c r="L10" s="1280">
        <v>0</v>
      </c>
    </row>
    <row r="11" spans="1:12" s="1078" customFormat="1" ht="12.75">
      <c r="A11" s="1609" t="s">
        <v>156</v>
      </c>
      <c r="B11" s="1612">
        <v>630</v>
      </c>
      <c r="C11" s="1612">
        <v>63003</v>
      </c>
      <c r="D11" s="1629" t="s">
        <v>515</v>
      </c>
      <c r="E11" s="1630" t="s">
        <v>618</v>
      </c>
      <c r="F11" s="1651" t="s">
        <v>606</v>
      </c>
      <c r="G11" s="1632" t="s">
        <v>620</v>
      </c>
      <c r="H11" s="1634">
        <v>9050000</v>
      </c>
      <c r="I11" s="1100" t="s">
        <v>512</v>
      </c>
      <c r="J11" s="1277">
        <f>SUM(J12:J14)</f>
        <v>250000</v>
      </c>
      <c r="K11" s="1277">
        <f>SUM(K12:K14)</f>
        <v>4750000</v>
      </c>
      <c r="L11" s="1278">
        <f>SUM(L12:L14)</f>
        <v>4010000</v>
      </c>
    </row>
    <row r="12" spans="1:12" s="1078" customFormat="1" ht="12.75">
      <c r="A12" s="1610"/>
      <c r="B12" s="1603"/>
      <c r="C12" s="1603"/>
      <c r="D12" s="1605"/>
      <c r="E12" s="1604"/>
      <c r="F12" s="1607"/>
      <c r="G12" s="1600"/>
      <c r="H12" s="1601"/>
      <c r="I12" s="1101" t="s">
        <v>195</v>
      </c>
      <c r="J12" s="1273">
        <v>37500</v>
      </c>
      <c r="K12" s="1273">
        <v>712500</v>
      </c>
      <c r="L12" s="1274">
        <v>610000</v>
      </c>
    </row>
    <row r="13" spans="1:12" s="1078" customFormat="1" ht="12.75">
      <c r="A13" s="1610"/>
      <c r="B13" s="1603"/>
      <c r="C13" s="1603"/>
      <c r="D13" s="1605"/>
      <c r="E13" s="1604"/>
      <c r="F13" s="1607"/>
      <c r="G13" s="1600"/>
      <c r="H13" s="1601"/>
      <c r="I13" s="1101" t="s">
        <v>294</v>
      </c>
      <c r="J13" s="1273">
        <v>212500</v>
      </c>
      <c r="K13" s="1273">
        <v>4037500</v>
      </c>
      <c r="L13" s="1274">
        <v>3400000</v>
      </c>
    </row>
    <row r="14" spans="1:12" s="1078" customFormat="1" ht="13.5" thickBot="1">
      <c r="A14" s="1611"/>
      <c r="B14" s="1613"/>
      <c r="C14" s="1613"/>
      <c r="D14" s="1606"/>
      <c r="E14" s="1631"/>
      <c r="F14" s="1608"/>
      <c r="G14" s="1633"/>
      <c r="H14" s="1635"/>
      <c r="I14" s="1102" t="s">
        <v>513</v>
      </c>
      <c r="J14" s="1279">
        <v>0</v>
      </c>
      <c r="K14" s="1279">
        <v>0</v>
      </c>
      <c r="L14" s="1280">
        <v>0</v>
      </c>
    </row>
    <row r="15" spans="1:12" s="1078" customFormat="1" ht="13.5" thickBot="1">
      <c r="A15" s="1602" t="s">
        <v>157</v>
      </c>
      <c r="B15" s="1603">
        <v>630</v>
      </c>
      <c r="C15" s="1603">
        <v>63003</v>
      </c>
      <c r="D15" s="1604" t="s">
        <v>553</v>
      </c>
      <c r="E15" s="1604" t="s">
        <v>623</v>
      </c>
      <c r="F15" s="1607" t="s">
        <v>606</v>
      </c>
      <c r="G15" s="1600" t="s">
        <v>522</v>
      </c>
      <c r="H15" s="1601">
        <v>1275000</v>
      </c>
      <c r="I15" s="1103" t="s">
        <v>512</v>
      </c>
      <c r="J15" s="1271">
        <f>SUM(J16:J18)</f>
        <v>600000</v>
      </c>
      <c r="K15" s="1271">
        <f>SUM(K16:K18)</f>
        <v>600000</v>
      </c>
      <c r="L15" s="1272">
        <f>SUM(L16:L18)</f>
        <v>0</v>
      </c>
    </row>
    <row r="16" spans="1:12" s="1078" customFormat="1" ht="13.5" thickBot="1">
      <c r="A16" s="1602"/>
      <c r="B16" s="1603"/>
      <c r="C16" s="1603"/>
      <c r="D16" s="1605"/>
      <c r="E16" s="1604"/>
      <c r="F16" s="1607"/>
      <c r="G16" s="1600"/>
      <c r="H16" s="1601"/>
      <c r="I16" s="1101" t="s">
        <v>195</v>
      </c>
      <c r="J16" s="1273">
        <v>300000</v>
      </c>
      <c r="K16" s="1273">
        <v>300000</v>
      </c>
      <c r="L16" s="1274">
        <v>0</v>
      </c>
    </row>
    <row r="17" spans="1:12" s="1078" customFormat="1" ht="13.5" thickBot="1">
      <c r="A17" s="1602"/>
      <c r="B17" s="1603"/>
      <c r="C17" s="1603"/>
      <c r="D17" s="1605"/>
      <c r="E17" s="1604"/>
      <c r="F17" s="1607"/>
      <c r="G17" s="1600"/>
      <c r="H17" s="1601"/>
      <c r="I17" s="1101" t="s">
        <v>294</v>
      </c>
      <c r="J17" s="1273">
        <v>300000</v>
      </c>
      <c r="K17" s="1273">
        <v>300000</v>
      </c>
      <c r="L17" s="1274">
        <v>0</v>
      </c>
    </row>
    <row r="18" spans="1:12" s="1078" customFormat="1" ht="13.5" thickBot="1">
      <c r="A18" s="1602"/>
      <c r="B18" s="1603"/>
      <c r="C18" s="1603"/>
      <c r="D18" s="1606"/>
      <c r="E18" s="1604"/>
      <c r="F18" s="1608"/>
      <c r="G18" s="1600"/>
      <c r="H18" s="1601"/>
      <c r="I18" s="1104" t="s">
        <v>513</v>
      </c>
      <c r="J18" s="1275">
        <v>0</v>
      </c>
      <c r="K18" s="1275">
        <v>0</v>
      </c>
      <c r="L18" s="1276">
        <v>0</v>
      </c>
    </row>
    <row r="19" spans="1:12" s="1078" customFormat="1" ht="13.5" thickBot="1">
      <c r="A19" s="1602" t="s">
        <v>158</v>
      </c>
      <c r="B19" s="1612">
        <v>750</v>
      </c>
      <c r="C19" s="1612">
        <v>75023</v>
      </c>
      <c r="D19" s="1629" t="s">
        <v>515</v>
      </c>
      <c r="E19" s="1630" t="s">
        <v>531</v>
      </c>
      <c r="F19" s="1651" t="s">
        <v>622</v>
      </c>
      <c r="G19" s="1632" t="s">
        <v>516</v>
      </c>
      <c r="H19" s="1634">
        <v>1405983</v>
      </c>
      <c r="I19" s="1100" t="s">
        <v>512</v>
      </c>
      <c r="J19" s="1277">
        <f>SUM(J20:J22)</f>
        <v>1381951</v>
      </c>
      <c r="K19" s="1277">
        <f>SUM(K20:K22)</f>
        <v>0</v>
      </c>
      <c r="L19" s="1287">
        <f>SUM(L20:L22)</f>
        <v>0</v>
      </c>
    </row>
    <row r="20" spans="1:12" s="1078" customFormat="1" ht="13.5" thickBot="1">
      <c r="A20" s="1602"/>
      <c r="B20" s="1603"/>
      <c r="C20" s="1603"/>
      <c r="D20" s="1605"/>
      <c r="E20" s="1604"/>
      <c r="F20" s="1607"/>
      <c r="G20" s="1600"/>
      <c r="H20" s="1601"/>
      <c r="I20" s="1101" t="s">
        <v>195</v>
      </c>
      <c r="J20" s="1273">
        <v>207293</v>
      </c>
      <c r="K20" s="1273">
        <v>0</v>
      </c>
      <c r="L20" s="1288">
        <v>0</v>
      </c>
    </row>
    <row r="21" spans="1:12" s="1078" customFormat="1" ht="12.75" customHeight="1" thickBot="1">
      <c r="A21" s="1602"/>
      <c r="B21" s="1603"/>
      <c r="C21" s="1603"/>
      <c r="D21" s="1605"/>
      <c r="E21" s="1604"/>
      <c r="F21" s="1607"/>
      <c r="G21" s="1600"/>
      <c r="H21" s="1601"/>
      <c r="I21" s="1101" t="s">
        <v>294</v>
      </c>
      <c r="J21" s="1273">
        <v>1174658</v>
      </c>
      <c r="K21" s="1273">
        <v>0</v>
      </c>
      <c r="L21" s="1288">
        <v>0</v>
      </c>
    </row>
    <row r="22" spans="1:12" s="1078" customFormat="1" ht="13.5" thickBot="1">
      <c r="A22" s="1602"/>
      <c r="B22" s="1613"/>
      <c r="C22" s="1613"/>
      <c r="D22" s="1606"/>
      <c r="E22" s="1631"/>
      <c r="F22" s="1608"/>
      <c r="G22" s="1633"/>
      <c r="H22" s="1635"/>
      <c r="I22" s="1102" t="s">
        <v>513</v>
      </c>
      <c r="J22" s="1279">
        <v>0</v>
      </c>
      <c r="K22" s="1279">
        <v>0</v>
      </c>
      <c r="L22" s="1289">
        <v>0</v>
      </c>
    </row>
    <row r="23" spans="1:12" s="1078" customFormat="1" ht="13.5" thickBot="1">
      <c r="A23" s="1602" t="s">
        <v>159</v>
      </c>
      <c r="B23" s="1603">
        <v>750</v>
      </c>
      <c r="C23" s="1603">
        <v>75095</v>
      </c>
      <c r="D23" s="1605" t="s">
        <v>515</v>
      </c>
      <c r="E23" s="1636" t="s">
        <v>587</v>
      </c>
      <c r="F23" s="1651" t="s">
        <v>607</v>
      </c>
      <c r="G23" s="1600">
        <v>2010</v>
      </c>
      <c r="H23" s="1601">
        <v>75480</v>
      </c>
      <c r="I23" s="1103" t="s">
        <v>512</v>
      </c>
      <c r="J23" s="1271">
        <f>SUM(J24:J26)</f>
        <v>75480</v>
      </c>
      <c r="K23" s="1271">
        <f>SUM(K24:K26)</f>
        <v>0</v>
      </c>
      <c r="L23" s="1290">
        <f>SUM(L24:L26)</f>
        <v>0</v>
      </c>
    </row>
    <row r="24" spans="1:12" s="1078" customFormat="1" ht="13.5" thickBot="1">
      <c r="A24" s="1602"/>
      <c r="B24" s="1603"/>
      <c r="C24" s="1603"/>
      <c r="D24" s="1605"/>
      <c r="E24" s="1636"/>
      <c r="F24" s="1607"/>
      <c r="G24" s="1600"/>
      <c r="H24" s="1601"/>
      <c r="I24" s="1101" t="s">
        <v>195</v>
      </c>
      <c r="J24" s="1273">
        <v>11322</v>
      </c>
      <c r="K24" s="1273">
        <v>0</v>
      </c>
      <c r="L24" s="1288">
        <v>0</v>
      </c>
    </row>
    <row r="25" spans="1:12" s="1078" customFormat="1" ht="13.5" thickBot="1">
      <c r="A25" s="1602"/>
      <c r="B25" s="1603"/>
      <c r="C25" s="1603"/>
      <c r="D25" s="1605"/>
      <c r="E25" s="1636"/>
      <c r="F25" s="1607"/>
      <c r="G25" s="1600"/>
      <c r="H25" s="1601"/>
      <c r="I25" s="1101" t="s">
        <v>294</v>
      </c>
      <c r="J25" s="1273">
        <v>64158</v>
      </c>
      <c r="K25" s="1273">
        <v>0</v>
      </c>
      <c r="L25" s="1288">
        <v>0</v>
      </c>
    </row>
    <row r="26" spans="1:12" s="1078" customFormat="1" ht="13.5" thickBot="1">
      <c r="A26" s="1602"/>
      <c r="B26" s="1603"/>
      <c r="C26" s="1603"/>
      <c r="D26" s="1605"/>
      <c r="E26" s="1636"/>
      <c r="F26" s="1608"/>
      <c r="G26" s="1600"/>
      <c r="H26" s="1601"/>
      <c r="I26" s="1104" t="s">
        <v>513</v>
      </c>
      <c r="J26" s="1275">
        <v>0</v>
      </c>
      <c r="K26" s="1275">
        <v>0</v>
      </c>
      <c r="L26" s="1291">
        <v>0</v>
      </c>
    </row>
    <row r="27" spans="1:12" ht="13.5" thickBot="1">
      <c r="A27" s="1602" t="s">
        <v>160</v>
      </c>
      <c r="B27" s="1612">
        <v>754</v>
      </c>
      <c r="C27" s="1612">
        <v>75412</v>
      </c>
      <c r="D27" s="1630" t="s">
        <v>553</v>
      </c>
      <c r="E27" s="1630" t="s">
        <v>12</v>
      </c>
      <c r="F27" s="1651" t="s">
        <v>606</v>
      </c>
      <c r="G27" s="1632" t="s">
        <v>599</v>
      </c>
      <c r="H27" s="1634">
        <v>1237706</v>
      </c>
      <c r="I27" s="1100" t="s">
        <v>512</v>
      </c>
      <c r="J27" s="1277">
        <f>SUM(J28:J30)</f>
        <v>1200000</v>
      </c>
      <c r="K27" s="1277">
        <f>SUM(K28:K30)</f>
        <v>0</v>
      </c>
      <c r="L27" s="1278">
        <f>SUM(L28:L30)</f>
        <v>0</v>
      </c>
    </row>
    <row r="28" spans="1:12" ht="13.5" thickBot="1">
      <c r="A28" s="1602"/>
      <c r="B28" s="1603"/>
      <c r="C28" s="1603"/>
      <c r="D28" s="1604"/>
      <c r="E28" s="1604"/>
      <c r="F28" s="1607"/>
      <c r="G28" s="1600"/>
      <c r="H28" s="1601"/>
      <c r="I28" s="1101" t="s">
        <v>195</v>
      </c>
      <c r="J28" s="1273">
        <v>681000</v>
      </c>
      <c r="K28" s="1273">
        <v>0</v>
      </c>
      <c r="L28" s="1274">
        <v>0</v>
      </c>
    </row>
    <row r="29" spans="1:12" ht="12.75" customHeight="1" thickBot="1">
      <c r="A29" s="1602"/>
      <c r="B29" s="1603"/>
      <c r="C29" s="1603"/>
      <c r="D29" s="1604"/>
      <c r="E29" s="1604"/>
      <c r="F29" s="1607"/>
      <c r="G29" s="1600"/>
      <c r="H29" s="1601"/>
      <c r="I29" s="1101" t="s">
        <v>294</v>
      </c>
      <c r="J29" s="1273">
        <v>519000</v>
      </c>
      <c r="K29" s="1273">
        <v>0</v>
      </c>
      <c r="L29" s="1274">
        <v>0</v>
      </c>
    </row>
    <row r="30" spans="1:12" ht="13.5" thickBot="1">
      <c r="A30" s="1602"/>
      <c r="B30" s="1613"/>
      <c r="C30" s="1613"/>
      <c r="D30" s="1631"/>
      <c r="E30" s="1631"/>
      <c r="F30" s="1608"/>
      <c r="G30" s="1633"/>
      <c r="H30" s="1635"/>
      <c r="I30" s="1102" t="s">
        <v>513</v>
      </c>
      <c r="J30" s="1279">
        <v>0</v>
      </c>
      <c r="K30" s="1279">
        <v>0</v>
      </c>
      <c r="L30" s="1280">
        <v>0</v>
      </c>
    </row>
    <row r="31" spans="1:12" s="1078" customFormat="1" ht="13.5" thickBot="1">
      <c r="A31" s="1602" t="s">
        <v>161</v>
      </c>
      <c r="B31" s="1612">
        <v>754</v>
      </c>
      <c r="C31" s="1612">
        <v>75412</v>
      </c>
      <c r="D31" s="1629" t="s">
        <v>515</v>
      </c>
      <c r="E31" s="1630" t="s">
        <v>518</v>
      </c>
      <c r="F31" s="1651" t="s">
        <v>608</v>
      </c>
      <c r="G31" s="1632" t="s">
        <v>521</v>
      </c>
      <c r="H31" s="1634">
        <f>SUM(J31:K31)</f>
        <v>3000000</v>
      </c>
      <c r="I31" s="1100" t="s">
        <v>512</v>
      </c>
      <c r="J31" s="1277">
        <f>SUM(J32:J34)</f>
        <v>1500000</v>
      </c>
      <c r="K31" s="1277">
        <f>SUM(K32:K34)</f>
        <v>1500000</v>
      </c>
      <c r="L31" s="1287">
        <f>SUM(L32:L34)</f>
        <v>0</v>
      </c>
    </row>
    <row r="32" spans="1:12" s="1078" customFormat="1" ht="13.5" thickBot="1">
      <c r="A32" s="1602"/>
      <c r="B32" s="1603"/>
      <c r="C32" s="1603"/>
      <c r="D32" s="1605"/>
      <c r="E32" s="1604"/>
      <c r="F32" s="1607"/>
      <c r="G32" s="1600"/>
      <c r="H32" s="1601"/>
      <c r="I32" s="1101" t="s">
        <v>195</v>
      </c>
      <c r="J32" s="1273">
        <v>225000</v>
      </c>
      <c r="K32" s="1273">
        <v>225000</v>
      </c>
      <c r="L32" s="1288">
        <v>0</v>
      </c>
    </row>
    <row r="33" spans="1:12" s="1078" customFormat="1" ht="12.75" customHeight="1" thickBot="1">
      <c r="A33" s="1602"/>
      <c r="B33" s="1603"/>
      <c r="C33" s="1603"/>
      <c r="D33" s="1605"/>
      <c r="E33" s="1604"/>
      <c r="F33" s="1607"/>
      <c r="G33" s="1600"/>
      <c r="H33" s="1601"/>
      <c r="I33" s="1101" t="s">
        <v>294</v>
      </c>
      <c r="J33" s="1273">
        <v>1275000</v>
      </c>
      <c r="K33" s="1273">
        <v>1275000</v>
      </c>
      <c r="L33" s="1288">
        <v>0</v>
      </c>
    </row>
    <row r="34" spans="1:12" s="1078" customFormat="1" ht="13.5" thickBot="1">
      <c r="A34" s="1602"/>
      <c r="B34" s="1613"/>
      <c r="C34" s="1613"/>
      <c r="D34" s="1606"/>
      <c r="E34" s="1631"/>
      <c r="F34" s="1608"/>
      <c r="G34" s="1633"/>
      <c r="H34" s="1635"/>
      <c r="I34" s="1102" t="s">
        <v>513</v>
      </c>
      <c r="J34" s="1279">
        <v>0</v>
      </c>
      <c r="K34" s="1279">
        <v>0</v>
      </c>
      <c r="L34" s="1289">
        <v>0</v>
      </c>
    </row>
    <row r="35" spans="1:12" s="1078" customFormat="1" ht="13.5" thickBot="1">
      <c r="A35" s="1602" t="s">
        <v>162</v>
      </c>
      <c r="B35" s="1603">
        <v>754</v>
      </c>
      <c r="C35" s="1603">
        <v>75412</v>
      </c>
      <c r="D35" s="1629" t="s">
        <v>515</v>
      </c>
      <c r="E35" s="1636" t="s">
        <v>520</v>
      </c>
      <c r="F35" s="1651" t="s">
        <v>608</v>
      </c>
      <c r="G35" s="1600" t="s">
        <v>521</v>
      </c>
      <c r="H35" s="1601">
        <f>SUM(J35:K35)</f>
        <v>600000</v>
      </c>
      <c r="I35" s="1103" t="s">
        <v>512</v>
      </c>
      <c r="J35" s="1271">
        <f>SUM(J36:J38)</f>
        <v>300000</v>
      </c>
      <c r="K35" s="1271">
        <f>SUM(K36:K38)</f>
        <v>300000</v>
      </c>
      <c r="L35" s="1272">
        <f>SUM(L36:L38)</f>
        <v>0</v>
      </c>
    </row>
    <row r="36" spans="1:12" s="1078" customFormat="1" ht="13.5" thickBot="1">
      <c r="A36" s="1602"/>
      <c r="B36" s="1603"/>
      <c r="C36" s="1603"/>
      <c r="D36" s="1605"/>
      <c r="E36" s="1636"/>
      <c r="F36" s="1607"/>
      <c r="G36" s="1600"/>
      <c r="H36" s="1601"/>
      <c r="I36" s="1101" t="s">
        <v>195</v>
      </c>
      <c r="J36" s="1273">
        <v>45000</v>
      </c>
      <c r="K36" s="1273">
        <v>45000</v>
      </c>
      <c r="L36" s="1274">
        <v>0</v>
      </c>
    </row>
    <row r="37" spans="1:12" s="1078" customFormat="1" ht="13.5" thickBot="1">
      <c r="A37" s="1602"/>
      <c r="B37" s="1603"/>
      <c r="C37" s="1603"/>
      <c r="D37" s="1605"/>
      <c r="E37" s="1636"/>
      <c r="F37" s="1607"/>
      <c r="G37" s="1600"/>
      <c r="H37" s="1601"/>
      <c r="I37" s="1101" t="s">
        <v>294</v>
      </c>
      <c r="J37" s="1273">
        <v>255000</v>
      </c>
      <c r="K37" s="1273">
        <v>255000</v>
      </c>
      <c r="L37" s="1274">
        <v>0</v>
      </c>
    </row>
    <row r="38" spans="1:12" s="1078" customFormat="1" ht="13.5" thickBot="1">
      <c r="A38" s="1602"/>
      <c r="B38" s="1603"/>
      <c r="C38" s="1603"/>
      <c r="D38" s="1606"/>
      <c r="E38" s="1636"/>
      <c r="F38" s="1608"/>
      <c r="G38" s="1600"/>
      <c r="H38" s="1601"/>
      <c r="I38" s="1104" t="s">
        <v>513</v>
      </c>
      <c r="J38" s="1275">
        <v>0</v>
      </c>
      <c r="K38" s="1275">
        <v>0</v>
      </c>
      <c r="L38" s="1276">
        <v>0</v>
      </c>
    </row>
    <row r="39" spans="1:12" s="1078" customFormat="1" ht="12.75">
      <c r="A39" s="1610" t="s">
        <v>163</v>
      </c>
      <c r="B39" s="1612">
        <v>801</v>
      </c>
      <c r="C39" s="1612">
        <v>80104</v>
      </c>
      <c r="D39" s="1630" t="s">
        <v>611</v>
      </c>
      <c r="E39" s="1630" t="s">
        <v>612</v>
      </c>
      <c r="F39" s="1651" t="s">
        <v>613</v>
      </c>
      <c r="G39" s="1632" t="s">
        <v>614</v>
      </c>
      <c r="H39" s="1634">
        <v>507294</v>
      </c>
      <c r="I39" s="1100" t="s">
        <v>512</v>
      </c>
      <c r="J39" s="1277">
        <f>SUM(J40:J42)</f>
        <v>149831</v>
      </c>
      <c r="K39" s="1277">
        <f>SUM(K40:K42)</f>
        <v>177558</v>
      </c>
      <c r="L39" s="1278">
        <f>SUM(L40:L42)</f>
        <v>179905</v>
      </c>
    </row>
    <row r="40" spans="1:12" s="1078" customFormat="1" ht="12.75">
      <c r="A40" s="1610"/>
      <c r="B40" s="1603"/>
      <c r="C40" s="1603"/>
      <c r="D40" s="1604"/>
      <c r="E40" s="1604"/>
      <c r="F40" s="1607"/>
      <c r="G40" s="1600"/>
      <c r="H40" s="1601"/>
      <c r="I40" s="1101" t="s">
        <v>195</v>
      </c>
      <c r="J40" s="1273">
        <v>22475</v>
      </c>
      <c r="K40" s="1273">
        <v>26634</v>
      </c>
      <c r="L40" s="1274">
        <v>26986</v>
      </c>
    </row>
    <row r="41" spans="1:12" s="1078" customFormat="1" ht="12.75">
      <c r="A41" s="1610"/>
      <c r="B41" s="1603"/>
      <c r="C41" s="1603"/>
      <c r="D41" s="1604"/>
      <c r="E41" s="1604"/>
      <c r="F41" s="1607"/>
      <c r="G41" s="1600"/>
      <c r="H41" s="1601"/>
      <c r="I41" s="1101" t="s">
        <v>294</v>
      </c>
      <c r="J41" s="1273">
        <v>127356</v>
      </c>
      <c r="K41" s="1273">
        <v>150924</v>
      </c>
      <c r="L41" s="1274">
        <v>152919</v>
      </c>
    </row>
    <row r="42" spans="1:12" s="1078" customFormat="1" ht="13.5" thickBot="1">
      <c r="A42" s="1610"/>
      <c r="B42" s="1613"/>
      <c r="C42" s="1613"/>
      <c r="D42" s="1631"/>
      <c r="E42" s="1631"/>
      <c r="F42" s="1608"/>
      <c r="G42" s="1633"/>
      <c r="H42" s="1635"/>
      <c r="I42" s="1102" t="s">
        <v>513</v>
      </c>
      <c r="J42" s="1279">
        <v>0</v>
      </c>
      <c r="K42" s="1279">
        <v>0</v>
      </c>
      <c r="L42" s="1280">
        <v>0</v>
      </c>
    </row>
    <row r="43" spans="1:12" s="1078" customFormat="1" ht="12.75">
      <c r="A43" s="1609" t="s">
        <v>164</v>
      </c>
      <c r="B43" s="1612">
        <v>801</v>
      </c>
      <c r="C43" s="1612">
        <v>80110</v>
      </c>
      <c r="D43" s="1630" t="s">
        <v>529</v>
      </c>
      <c r="E43" s="1630" t="s">
        <v>526</v>
      </c>
      <c r="F43" s="1651" t="s">
        <v>610</v>
      </c>
      <c r="G43" s="1632">
        <v>2010</v>
      </c>
      <c r="H43" s="1634">
        <v>700</v>
      </c>
      <c r="I43" s="1100" t="s">
        <v>512</v>
      </c>
      <c r="J43" s="1277">
        <f>SUM(J44:J46)</f>
        <v>700</v>
      </c>
      <c r="K43" s="1277">
        <f>SUM(K44:K46)</f>
        <v>0</v>
      </c>
      <c r="L43" s="1278">
        <f>SUM(L44:L46)</f>
        <v>0</v>
      </c>
    </row>
    <row r="44" spans="1:12" s="1078" customFormat="1" ht="12.75">
      <c r="A44" s="1610"/>
      <c r="B44" s="1603"/>
      <c r="C44" s="1603"/>
      <c r="D44" s="1604"/>
      <c r="E44" s="1604"/>
      <c r="F44" s="1607"/>
      <c r="G44" s="1600"/>
      <c r="H44" s="1601"/>
      <c r="I44" s="1101" t="s">
        <v>195</v>
      </c>
      <c r="J44" s="1273">
        <v>200</v>
      </c>
      <c r="K44" s="1273">
        <v>0</v>
      </c>
      <c r="L44" s="1274">
        <v>0</v>
      </c>
    </row>
    <row r="45" spans="1:12" s="1078" customFormat="1" ht="12.75">
      <c r="A45" s="1610"/>
      <c r="B45" s="1603"/>
      <c r="C45" s="1603"/>
      <c r="D45" s="1604"/>
      <c r="E45" s="1604"/>
      <c r="F45" s="1607"/>
      <c r="G45" s="1600"/>
      <c r="H45" s="1601"/>
      <c r="I45" s="1101" t="s">
        <v>294</v>
      </c>
      <c r="J45" s="1273">
        <v>500</v>
      </c>
      <c r="K45" s="1273">
        <v>0</v>
      </c>
      <c r="L45" s="1274">
        <v>0</v>
      </c>
    </row>
    <row r="46" spans="1:12" s="1078" customFormat="1" ht="13.5" thickBot="1">
      <c r="A46" s="1611"/>
      <c r="B46" s="1613"/>
      <c r="C46" s="1613"/>
      <c r="D46" s="1631"/>
      <c r="E46" s="1631"/>
      <c r="F46" s="1608"/>
      <c r="G46" s="1633"/>
      <c r="H46" s="1635"/>
      <c r="I46" s="1102" t="s">
        <v>513</v>
      </c>
      <c r="J46" s="1279">
        <v>0</v>
      </c>
      <c r="K46" s="1279">
        <v>0</v>
      </c>
      <c r="L46" s="1280">
        <v>0</v>
      </c>
    </row>
    <row r="47" spans="1:12" s="572" customFormat="1" ht="15" customHeight="1" thickBot="1">
      <c r="A47" s="1074">
        <v>1</v>
      </c>
      <c r="B47" s="1075">
        <v>2</v>
      </c>
      <c r="C47" s="1075">
        <v>3</v>
      </c>
      <c r="D47" s="1075">
        <v>4</v>
      </c>
      <c r="E47" s="1076">
        <v>5</v>
      </c>
      <c r="F47" s="1076">
        <v>6</v>
      </c>
      <c r="G47" s="1075">
        <v>7</v>
      </c>
      <c r="H47" s="1075">
        <v>8</v>
      </c>
      <c r="I47" s="1075">
        <v>9</v>
      </c>
      <c r="J47" s="1075">
        <v>10</v>
      </c>
      <c r="K47" s="1075">
        <v>11</v>
      </c>
      <c r="L47" s="1077">
        <v>12</v>
      </c>
    </row>
    <row r="48" spans="1:12" s="1078" customFormat="1" ht="13.5" thickBot="1">
      <c r="A48" s="1602" t="s">
        <v>165</v>
      </c>
      <c r="B48" s="1603">
        <v>801</v>
      </c>
      <c r="C48" s="1603">
        <v>80110</v>
      </c>
      <c r="D48" s="1604" t="s">
        <v>529</v>
      </c>
      <c r="E48" s="1604" t="s">
        <v>527</v>
      </c>
      <c r="F48" s="1651" t="s">
        <v>610</v>
      </c>
      <c r="G48" s="1600">
        <v>2010</v>
      </c>
      <c r="H48" s="1601">
        <v>700</v>
      </c>
      <c r="I48" s="1103" t="s">
        <v>512</v>
      </c>
      <c r="J48" s="1271">
        <f>SUM(J49:J51)</f>
        <v>700</v>
      </c>
      <c r="K48" s="1271">
        <f>SUM(K49:K51)</f>
        <v>0</v>
      </c>
      <c r="L48" s="1272">
        <f>SUM(L49:L51)</f>
        <v>0</v>
      </c>
    </row>
    <row r="49" spans="1:12" s="1078" customFormat="1" ht="13.5" thickBot="1">
      <c r="A49" s="1602"/>
      <c r="B49" s="1603"/>
      <c r="C49" s="1603"/>
      <c r="D49" s="1604"/>
      <c r="E49" s="1604"/>
      <c r="F49" s="1607"/>
      <c r="G49" s="1600"/>
      <c r="H49" s="1601"/>
      <c r="I49" s="1101" t="s">
        <v>195</v>
      </c>
      <c r="J49" s="1273">
        <v>200</v>
      </c>
      <c r="K49" s="1273">
        <v>0</v>
      </c>
      <c r="L49" s="1274">
        <v>0</v>
      </c>
    </row>
    <row r="50" spans="1:12" s="1078" customFormat="1" ht="13.5" thickBot="1">
      <c r="A50" s="1602"/>
      <c r="B50" s="1603"/>
      <c r="C50" s="1603"/>
      <c r="D50" s="1604"/>
      <c r="E50" s="1604"/>
      <c r="F50" s="1607"/>
      <c r="G50" s="1600"/>
      <c r="H50" s="1601"/>
      <c r="I50" s="1101" t="s">
        <v>294</v>
      </c>
      <c r="J50" s="1273">
        <v>500</v>
      </c>
      <c r="K50" s="1273">
        <v>0</v>
      </c>
      <c r="L50" s="1274">
        <v>0</v>
      </c>
    </row>
    <row r="51" spans="1:12" s="1078" customFormat="1" ht="13.5" thickBot="1">
      <c r="A51" s="1602"/>
      <c r="B51" s="1603"/>
      <c r="C51" s="1603"/>
      <c r="D51" s="1604"/>
      <c r="E51" s="1604"/>
      <c r="F51" s="1608"/>
      <c r="G51" s="1600"/>
      <c r="H51" s="1601"/>
      <c r="I51" s="1104" t="s">
        <v>513</v>
      </c>
      <c r="J51" s="1275">
        <v>0</v>
      </c>
      <c r="K51" s="1275"/>
      <c r="L51" s="1276"/>
    </row>
    <row r="52" spans="1:12" s="1078" customFormat="1" ht="13.5" thickBot="1">
      <c r="A52" s="1602" t="s">
        <v>166</v>
      </c>
      <c r="B52" s="1612">
        <v>801</v>
      </c>
      <c r="C52" s="1612">
        <v>80110</v>
      </c>
      <c r="D52" s="1630" t="s">
        <v>529</v>
      </c>
      <c r="E52" s="1630" t="s">
        <v>528</v>
      </c>
      <c r="F52" s="1651" t="s">
        <v>610</v>
      </c>
      <c r="G52" s="1632">
        <v>2010</v>
      </c>
      <c r="H52" s="1634">
        <v>9500</v>
      </c>
      <c r="I52" s="1100" t="s">
        <v>512</v>
      </c>
      <c r="J52" s="1277">
        <f>SUM(J53:J55)</f>
        <v>9500</v>
      </c>
      <c r="K52" s="1277">
        <f>SUM(K53:K55)</f>
        <v>0</v>
      </c>
      <c r="L52" s="1278">
        <f>SUM(L53:L55)</f>
        <v>0</v>
      </c>
    </row>
    <row r="53" spans="1:12" s="1078" customFormat="1" ht="13.5" thickBot="1">
      <c r="A53" s="1602"/>
      <c r="B53" s="1603"/>
      <c r="C53" s="1603"/>
      <c r="D53" s="1604"/>
      <c r="E53" s="1604"/>
      <c r="F53" s="1607"/>
      <c r="G53" s="1600"/>
      <c r="H53" s="1601"/>
      <c r="I53" s="1101" t="s">
        <v>195</v>
      </c>
      <c r="J53" s="1273">
        <v>1000</v>
      </c>
      <c r="K53" s="1273">
        <v>0</v>
      </c>
      <c r="L53" s="1274">
        <v>0</v>
      </c>
    </row>
    <row r="54" spans="1:12" s="1078" customFormat="1" ht="13.5" thickBot="1">
      <c r="A54" s="1602"/>
      <c r="B54" s="1603"/>
      <c r="C54" s="1603"/>
      <c r="D54" s="1604"/>
      <c r="E54" s="1604"/>
      <c r="F54" s="1607"/>
      <c r="G54" s="1600"/>
      <c r="H54" s="1601"/>
      <c r="I54" s="1101" t="s">
        <v>294</v>
      </c>
      <c r="J54" s="1273">
        <v>6000</v>
      </c>
      <c r="K54" s="1273">
        <v>0</v>
      </c>
      <c r="L54" s="1274">
        <v>0</v>
      </c>
    </row>
    <row r="55" spans="1:12" s="1078" customFormat="1" ht="13.5" thickBot="1">
      <c r="A55" s="1602"/>
      <c r="B55" s="1613"/>
      <c r="C55" s="1613"/>
      <c r="D55" s="1631"/>
      <c r="E55" s="1631"/>
      <c r="F55" s="1608"/>
      <c r="G55" s="1633"/>
      <c r="H55" s="1635"/>
      <c r="I55" s="1102" t="s">
        <v>513</v>
      </c>
      <c r="J55" s="1279">
        <v>2500</v>
      </c>
      <c r="K55" s="1279">
        <v>0</v>
      </c>
      <c r="L55" s="1280">
        <v>0</v>
      </c>
    </row>
    <row r="56" spans="1:12" s="1078" customFormat="1" ht="13.5" thickBot="1">
      <c r="A56" s="1602" t="s">
        <v>167</v>
      </c>
      <c r="B56" s="1603">
        <v>853</v>
      </c>
      <c r="C56" s="1603">
        <v>85395</v>
      </c>
      <c r="D56" s="1604" t="s">
        <v>514</v>
      </c>
      <c r="E56" s="1636" t="s">
        <v>519</v>
      </c>
      <c r="F56" s="1651" t="s">
        <v>615</v>
      </c>
      <c r="G56" s="1600" t="s">
        <v>600</v>
      </c>
      <c r="H56" s="1601">
        <v>620144</v>
      </c>
      <c r="I56" s="1103" t="s">
        <v>512</v>
      </c>
      <c r="J56" s="1271">
        <f>SUM(J57:J59)</f>
        <v>620144</v>
      </c>
      <c r="K56" s="1271">
        <f>SUM(K57:K59)</f>
        <v>0</v>
      </c>
      <c r="L56" s="1272">
        <f>SUM(L57:L59)</f>
        <v>0</v>
      </c>
    </row>
    <row r="57" spans="1:12" s="1078" customFormat="1" ht="13.5" thickBot="1">
      <c r="A57" s="1602"/>
      <c r="B57" s="1603"/>
      <c r="C57" s="1603"/>
      <c r="D57" s="1604"/>
      <c r="E57" s="1636"/>
      <c r="F57" s="1607"/>
      <c r="G57" s="1600"/>
      <c r="H57" s="1601"/>
      <c r="I57" s="1101" t="s">
        <v>195</v>
      </c>
      <c r="J57" s="1273">
        <v>0</v>
      </c>
      <c r="K57" s="1273">
        <v>0</v>
      </c>
      <c r="L57" s="1274">
        <v>0</v>
      </c>
    </row>
    <row r="58" spans="1:12" s="1078" customFormat="1" ht="13.5" thickBot="1">
      <c r="A58" s="1602"/>
      <c r="B58" s="1603"/>
      <c r="C58" s="1603"/>
      <c r="D58" s="1604"/>
      <c r="E58" s="1636"/>
      <c r="F58" s="1607"/>
      <c r="G58" s="1600"/>
      <c r="H58" s="1601"/>
      <c r="I58" s="1101" t="s">
        <v>294</v>
      </c>
      <c r="J58" s="1273">
        <v>527122</v>
      </c>
      <c r="K58" s="1273">
        <v>0</v>
      </c>
      <c r="L58" s="1274">
        <v>0</v>
      </c>
    </row>
    <row r="59" spans="1:12" s="1078" customFormat="1" ht="13.5" thickBot="1">
      <c r="A59" s="1602"/>
      <c r="B59" s="1603"/>
      <c r="C59" s="1603"/>
      <c r="D59" s="1604"/>
      <c r="E59" s="1636"/>
      <c r="F59" s="1608"/>
      <c r="G59" s="1600"/>
      <c r="H59" s="1601"/>
      <c r="I59" s="1104" t="s">
        <v>513</v>
      </c>
      <c r="J59" s="1273">
        <v>93022</v>
      </c>
      <c r="K59" s="1275">
        <v>0</v>
      </c>
      <c r="L59" s="1276">
        <v>0</v>
      </c>
    </row>
    <row r="60" spans="1:12" s="1078" customFormat="1" ht="13.5" thickBot="1">
      <c r="A60" s="1602" t="s">
        <v>168</v>
      </c>
      <c r="B60" s="1612">
        <v>853</v>
      </c>
      <c r="C60" s="1612">
        <v>85395</v>
      </c>
      <c r="D60" s="1630" t="s">
        <v>514</v>
      </c>
      <c r="E60" s="1630" t="s">
        <v>517</v>
      </c>
      <c r="F60" s="1651" t="s">
        <v>609</v>
      </c>
      <c r="G60" s="1632">
        <v>2010</v>
      </c>
      <c r="H60" s="1634">
        <f>SUM(J60)</f>
        <v>480496</v>
      </c>
      <c r="I60" s="1100" t="s">
        <v>512</v>
      </c>
      <c r="J60" s="1277">
        <f>SUM(J61:J63)</f>
        <v>480496</v>
      </c>
      <c r="K60" s="1277">
        <f>SUM(K61:K63)</f>
        <v>0</v>
      </c>
      <c r="L60" s="1278">
        <f>SUM(L61:L63)</f>
        <v>0</v>
      </c>
    </row>
    <row r="61" spans="1:12" s="1078" customFormat="1" ht="13.5" thickBot="1">
      <c r="A61" s="1602"/>
      <c r="B61" s="1603"/>
      <c r="C61" s="1603"/>
      <c r="D61" s="1604"/>
      <c r="E61" s="1604"/>
      <c r="F61" s="1607"/>
      <c r="G61" s="1600"/>
      <c r="H61" s="1601"/>
      <c r="I61" s="1101" t="s">
        <v>195</v>
      </c>
      <c r="J61" s="1273">
        <v>48050</v>
      </c>
      <c r="K61" s="1273">
        <v>0</v>
      </c>
      <c r="L61" s="1274">
        <v>0</v>
      </c>
    </row>
    <row r="62" spans="1:12" s="1078" customFormat="1" ht="13.5" thickBot="1">
      <c r="A62" s="1602"/>
      <c r="B62" s="1603"/>
      <c r="C62" s="1603"/>
      <c r="D62" s="1604"/>
      <c r="E62" s="1604"/>
      <c r="F62" s="1607"/>
      <c r="G62" s="1600"/>
      <c r="H62" s="1601"/>
      <c r="I62" s="1101" t="s">
        <v>294</v>
      </c>
      <c r="J62" s="1273">
        <v>408402</v>
      </c>
      <c r="K62" s="1273">
        <v>0</v>
      </c>
      <c r="L62" s="1274">
        <v>0</v>
      </c>
    </row>
    <row r="63" spans="1:12" s="1078" customFormat="1" ht="13.5" thickBot="1">
      <c r="A63" s="1602"/>
      <c r="B63" s="1613"/>
      <c r="C63" s="1613"/>
      <c r="D63" s="1631"/>
      <c r="E63" s="1631"/>
      <c r="F63" s="1608"/>
      <c r="G63" s="1633"/>
      <c r="H63" s="1635"/>
      <c r="I63" s="1102" t="s">
        <v>513</v>
      </c>
      <c r="J63" s="1279">
        <v>24044</v>
      </c>
      <c r="K63" s="1279">
        <v>0</v>
      </c>
      <c r="L63" s="1280">
        <v>0</v>
      </c>
    </row>
    <row r="64" spans="1:12" s="1078" customFormat="1" ht="12.75" customHeight="1" thickBot="1">
      <c r="A64" s="1602" t="s">
        <v>224</v>
      </c>
      <c r="B64" s="1603">
        <v>900</v>
      </c>
      <c r="C64" s="1603">
        <v>90001</v>
      </c>
      <c r="D64" s="1636" t="s">
        <v>549</v>
      </c>
      <c r="E64" s="1604" t="s">
        <v>588</v>
      </c>
      <c r="F64" s="1651" t="s">
        <v>606</v>
      </c>
      <c r="G64" s="1600" t="s">
        <v>516</v>
      </c>
      <c r="H64" s="1601">
        <v>5524567</v>
      </c>
      <c r="I64" s="1103" t="s">
        <v>512</v>
      </c>
      <c r="J64" s="1271">
        <f>SUM(J65:J67)</f>
        <v>5514180</v>
      </c>
      <c r="K64" s="1271">
        <f>SUM(K65:K67)</f>
        <v>0</v>
      </c>
      <c r="L64" s="1272">
        <f>SUM(L65:L67)</f>
        <v>0</v>
      </c>
    </row>
    <row r="65" spans="1:12" s="1078" customFormat="1" ht="13.5" thickBot="1">
      <c r="A65" s="1602"/>
      <c r="B65" s="1603"/>
      <c r="C65" s="1603"/>
      <c r="D65" s="1636"/>
      <c r="E65" s="1604"/>
      <c r="F65" s="1607"/>
      <c r="G65" s="1600"/>
      <c r="H65" s="1601"/>
      <c r="I65" s="1101" t="s">
        <v>195</v>
      </c>
      <c r="J65" s="1273">
        <v>2972320</v>
      </c>
      <c r="K65" s="1273">
        <v>0</v>
      </c>
      <c r="L65" s="1274">
        <v>0</v>
      </c>
    </row>
    <row r="66" spans="1:12" s="1078" customFormat="1" ht="13.5" thickBot="1">
      <c r="A66" s="1602"/>
      <c r="B66" s="1603"/>
      <c r="C66" s="1603"/>
      <c r="D66" s="1636"/>
      <c r="E66" s="1604"/>
      <c r="F66" s="1607"/>
      <c r="G66" s="1600"/>
      <c r="H66" s="1601"/>
      <c r="I66" s="1101" t="s">
        <v>294</v>
      </c>
      <c r="J66" s="1273">
        <v>2541860</v>
      </c>
      <c r="K66" s="1273">
        <v>0</v>
      </c>
      <c r="L66" s="1274">
        <v>0</v>
      </c>
    </row>
    <row r="67" spans="1:12" s="1078" customFormat="1" ht="13.5" thickBot="1">
      <c r="A67" s="1602"/>
      <c r="B67" s="1603"/>
      <c r="C67" s="1603"/>
      <c r="D67" s="1636"/>
      <c r="E67" s="1604"/>
      <c r="F67" s="1608"/>
      <c r="G67" s="1600"/>
      <c r="H67" s="1601"/>
      <c r="I67" s="1104" t="s">
        <v>513</v>
      </c>
      <c r="J67" s="1275">
        <v>0</v>
      </c>
      <c r="K67" s="1275">
        <v>0</v>
      </c>
      <c r="L67" s="1276">
        <v>0</v>
      </c>
    </row>
    <row r="68" spans="1:12" s="1078" customFormat="1" ht="13.5" thickBot="1">
      <c r="A68" s="1602" t="s">
        <v>225</v>
      </c>
      <c r="B68" s="1612">
        <v>900</v>
      </c>
      <c r="C68" s="1612">
        <v>90095</v>
      </c>
      <c r="D68" s="1629" t="s">
        <v>515</v>
      </c>
      <c r="E68" s="1630" t="s">
        <v>589</v>
      </c>
      <c r="F68" s="1651" t="s">
        <v>606</v>
      </c>
      <c r="G68" s="1632" t="s">
        <v>522</v>
      </c>
      <c r="H68" s="1634">
        <v>6062340</v>
      </c>
      <c r="I68" s="1100" t="s">
        <v>512</v>
      </c>
      <c r="J68" s="1277">
        <f>SUM(J69:J71)</f>
        <v>1796305</v>
      </c>
      <c r="K68" s="1277">
        <f>SUM(K69:K71)</f>
        <v>4111150</v>
      </c>
      <c r="L68" s="1278">
        <f>SUM(L69:L71)</f>
        <v>0</v>
      </c>
    </row>
    <row r="69" spans="1:12" s="1078" customFormat="1" ht="13.5" thickBot="1">
      <c r="A69" s="1602"/>
      <c r="B69" s="1603"/>
      <c r="C69" s="1603"/>
      <c r="D69" s="1605"/>
      <c r="E69" s="1604"/>
      <c r="F69" s="1607"/>
      <c r="G69" s="1600"/>
      <c r="H69" s="1601"/>
      <c r="I69" s="1101" t="s">
        <v>195</v>
      </c>
      <c r="J69" s="1273">
        <v>0</v>
      </c>
      <c r="K69" s="1273">
        <v>0</v>
      </c>
      <c r="L69" s="1274">
        <v>0</v>
      </c>
    </row>
    <row r="70" spans="1:12" s="1078" customFormat="1" ht="13.5" thickBot="1">
      <c r="A70" s="1602"/>
      <c r="B70" s="1603"/>
      <c r="C70" s="1603"/>
      <c r="D70" s="1605"/>
      <c r="E70" s="1604"/>
      <c r="F70" s="1607"/>
      <c r="G70" s="1600"/>
      <c r="H70" s="1601"/>
      <c r="I70" s="1101" t="s">
        <v>294</v>
      </c>
      <c r="J70" s="1105">
        <v>1526859</v>
      </c>
      <c r="K70" s="1105">
        <v>3494478</v>
      </c>
      <c r="L70" s="1274">
        <v>0</v>
      </c>
    </row>
    <row r="71" spans="1:12" s="1078" customFormat="1" ht="13.5" thickBot="1">
      <c r="A71" s="1602"/>
      <c r="B71" s="1613"/>
      <c r="C71" s="1613"/>
      <c r="D71" s="1606"/>
      <c r="E71" s="1631"/>
      <c r="F71" s="1608"/>
      <c r="G71" s="1633"/>
      <c r="H71" s="1635"/>
      <c r="I71" s="1102" t="s">
        <v>513</v>
      </c>
      <c r="J71" s="1106">
        <v>269446</v>
      </c>
      <c r="K71" s="1106">
        <v>616672</v>
      </c>
      <c r="L71" s="1280">
        <v>0</v>
      </c>
    </row>
    <row r="72" spans="1:12" s="1078" customFormat="1" ht="13.5" thickBot="1">
      <c r="A72" s="1602" t="s">
        <v>226</v>
      </c>
      <c r="B72" s="1603">
        <v>921</v>
      </c>
      <c r="C72" s="1603">
        <v>92109</v>
      </c>
      <c r="D72" s="1636" t="s">
        <v>530</v>
      </c>
      <c r="E72" s="1604" t="s">
        <v>523</v>
      </c>
      <c r="F72" s="1651" t="s">
        <v>606</v>
      </c>
      <c r="G72" s="1600" t="s">
        <v>524</v>
      </c>
      <c r="H72" s="1601">
        <v>1059760</v>
      </c>
      <c r="I72" s="1103" t="s">
        <v>512</v>
      </c>
      <c r="J72" s="1271">
        <f>SUM(J73:J75)</f>
        <v>1020000</v>
      </c>
      <c r="K72" s="1271">
        <f>SUM(K73:K75)</f>
        <v>0</v>
      </c>
      <c r="L72" s="1272">
        <f>SUM(L73:L75)</f>
        <v>0</v>
      </c>
    </row>
    <row r="73" spans="1:12" s="1078" customFormat="1" ht="13.5" thickBot="1">
      <c r="A73" s="1602"/>
      <c r="B73" s="1603"/>
      <c r="C73" s="1603"/>
      <c r="D73" s="1636"/>
      <c r="E73" s="1604"/>
      <c r="F73" s="1607"/>
      <c r="G73" s="1600"/>
      <c r="H73" s="1601"/>
      <c r="I73" s="1101" t="s">
        <v>195</v>
      </c>
      <c r="J73" s="1273">
        <v>520000</v>
      </c>
      <c r="K73" s="1273">
        <v>0</v>
      </c>
      <c r="L73" s="1274">
        <v>0</v>
      </c>
    </row>
    <row r="74" spans="1:12" s="1078" customFormat="1" ht="13.5" thickBot="1">
      <c r="A74" s="1602"/>
      <c r="B74" s="1603"/>
      <c r="C74" s="1603"/>
      <c r="D74" s="1636"/>
      <c r="E74" s="1604"/>
      <c r="F74" s="1607"/>
      <c r="G74" s="1600"/>
      <c r="H74" s="1601"/>
      <c r="I74" s="1101" t="s">
        <v>294</v>
      </c>
      <c r="J74" s="1273">
        <v>500000</v>
      </c>
      <c r="K74" s="1273">
        <v>0</v>
      </c>
      <c r="L74" s="1274">
        <v>0</v>
      </c>
    </row>
    <row r="75" spans="1:12" s="1078" customFormat="1" ht="13.5" thickBot="1">
      <c r="A75" s="1602"/>
      <c r="B75" s="1603"/>
      <c r="C75" s="1603"/>
      <c r="D75" s="1636"/>
      <c r="E75" s="1604"/>
      <c r="F75" s="1608"/>
      <c r="G75" s="1600"/>
      <c r="H75" s="1601"/>
      <c r="I75" s="1104" t="s">
        <v>513</v>
      </c>
      <c r="J75" s="1275">
        <v>0</v>
      </c>
      <c r="K75" s="1275">
        <v>0</v>
      </c>
      <c r="L75" s="1276">
        <v>0</v>
      </c>
    </row>
    <row r="76" spans="1:12" s="1078" customFormat="1" ht="13.5" thickBot="1">
      <c r="A76" s="1602" t="s">
        <v>227</v>
      </c>
      <c r="B76" s="1612">
        <v>921</v>
      </c>
      <c r="C76" s="1612">
        <v>92109</v>
      </c>
      <c r="D76" s="1647" t="s">
        <v>530</v>
      </c>
      <c r="E76" s="1630" t="s">
        <v>525</v>
      </c>
      <c r="F76" s="1651" t="s">
        <v>606</v>
      </c>
      <c r="G76" s="1632" t="s">
        <v>516</v>
      </c>
      <c r="H76" s="1634">
        <v>725479</v>
      </c>
      <c r="I76" s="1100" t="s">
        <v>512</v>
      </c>
      <c r="J76" s="1277">
        <f>SUM(J77:J79)</f>
        <v>700000</v>
      </c>
      <c r="K76" s="1277">
        <f>SUM(K77:K79)</f>
        <v>0</v>
      </c>
      <c r="L76" s="1278">
        <f>SUM(L77:L79)</f>
        <v>0</v>
      </c>
    </row>
    <row r="77" spans="1:12" s="1078" customFormat="1" ht="13.5" thickBot="1">
      <c r="A77" s="1602"/>
      <c r="B77" s="1603"/>
      <c r="C77" s="1603"/>
      <c r="D77" s="1636"/>
      <c r="E77" s="1604"/>
      <c r="F77" s="1607"/>
      <c r="G77" s="1600"/>
      <c r="H77" s="1601"/>
      <c r="I77" s="1101" t="s">
        <v>195</v>
      </c>
      <c r="J77" s="1105">
        <v>413025</v>
      </c>
      <c r="K77" s="1273">
        <v>0</v>
      </c>
      <c r="L77" s="1274">
        <v>0</v>
      </c>
    </row>
    <row r="78" spans="1:12" s="1078" customFormat="1" ht="13.5" thickBot="1">
      <c r="A78" s="1602"/>
      <c r="B78" s="1603"/>
      <c r="C78" s="1603"/>
      <c r="D78" s="1636"/>
      <c r="E78" s="1604"/>
      <c r="F78" s="1607"/>
      <c r="G78" s="1600"/>
      <c r="H78" s="1601"/>
      <c r="I78" s="1101" t="s">
        <v>294</v>
      </c>
      <c r="J78" s="1105">
        <v>286975</v>
      </c>
      <c r="K78" s="1273">
        <v>0</v>
      </c>
      <c r="L78" s="1274">
        <v>0</v>
      </c>
    </row>
    <row r="79" spans="1:12" s="1078" customFormat="1" ht="13.5" thickBot="1">
      <c r="A79" s="1602"/>
      <c r="B79" s="1613"/>
      <c r="C79" s="1613"/>
      <c r="D79" s="1648"/>
      <c r="E79" s="1631"/>
      <c r="F79" s="1608"/>
      <c r="G79" s="1633"/>
      <c r="H79" s="1635"/>
      <c r="I79" s="1102" t="s">
        <v>513</v>
      </c>
      <c r="J79" s="1279">
        <v>0</v>
      </c>
      <c r="K79" s="1279">
        <v>0</v>
      </c>
      <c r="L79" s="1280">
        <v>0</v>
      </c>
    </row>
    <row r="80" spans="1:12" s="1080" customFormat="1" ht="12.75">
      <c r="A80" s="1637" t="s">
        <v>89</v>
      </c>
      <c r="B80" s="1638"/>
      <c r="C80" s="1638"/>
      <c r="D80" s="1638"/>
      <c r="E80" s="1638"/>
      <c r="F80" s="1638"/>
      <c r="G80" s="1638"/>
      <c r="H80" s="1643">
        <f>SUM(H7:H46,H48:H79)</f>
        <v>34275149</v>
      </c>
      <c r="I80" s="1100" t="s">
        <v>512</v>
      </c>
      <c r="J80" s="1281">
        <f>SUM(J81:J83)</f>
        <v>18239287</v>
      </c>
      <c r="K80" s="1281">
        <f>SUM(K81:K83)</f>
        <v>11438708</v>
      </c>
      <c r="L80" s="1282">
        <f>SUM(L81:L83)</f>
        <v>4189905</v>
      </c>
    </row>
    <row r="81" spans="1:12" s="1080" customFormat="1" ht="12.75" customHeight="1">
      <c r="A81" s="1639"/>
      <c r="B81" s="1640"/>
      <c r="C81" s="1640"/>
      <c r="D81" s="1640"/>
      <c r="E81" s="1640"/>
      <c r="F81" s="1640"/>
      <c r="G81" s="1640"/>
      <c r="H81" s="1644"/>
      <c r="I81" s="1101" t="s">
        <v>195</v>
      </c>
      <c r="J81" s="1283">
        <f>SUM(J8+J12+J16+J20+J24+J28+J32+J36+J40+J44+J49+J53+J57+J61+J65+J69+J73+J77)</f>
        <v>5880385</v>
      </c>
      <c r="K81" s="1283">
        <f>SUM(K8+K12+K16+K20+K24+K28+K32+K36+K40+K44+K49+K53+K57+K61+K65+K69+K73+K77)</f>
        <v>1309134</v>
      </c>
      <c r="L81" s="1284">
        <f>SUM(L8+L12+L16+L20+L24+L28+L32+L36+L40+L44+L49+L53+L57+L61+L65+L69+L73+L77)</f>
        <v>636986</v>
      </c>
    </row>
    <row r="82" spans="1:12" s="1080" customFormat="1" ht="12.75">
      <c r="A82" s="1639"/>
      <c r="B82" s="1640"/>
      <c r="C82" s="1640"/>
      <c r="D82" s="1640"/>
      <c r="E82" s="1640"/>
      <c r="F82" s="1640"/>
      <c r="G82" s="1640"/>
      <c r="H82" s="1644"/>
      <c r="I82" s="1101" t="s">
        <v>294</v>
      </c>
      <c r="J82" s="1283">
        <f aca="true" t="shared" si="0" ref="J82:L83">SUM(J9+J13+J17+J21+J25+J29+J33+J37+J41+J45+J50+J54+J58+J62+J66+J70+J74+J78)</f>
        <v>11969890</v>
      </c>
      <c r="K82" s="1283">
        <f t="shared" si="0"/>
        <v>9512902</v>
      </c>
      <c r="L82" s="1284">
        <f t="shared" si="0"/>
        <v>3552919</v>
      </c>
    </row>
    <row r="83" spans="1:12" s="1080" customFormat="1" ht="13.5" thickBot="1">
      <c r="A83" s="1641"/>
      <c r="B83" s="1642"/>
      <c r="C83" s="1642"/>
      <c r="D83" s="1642"/>
      <c r="E83" s="1642"/>
      <c r="F83" s="1642"/>
      <c r="G83" s="1642"/>
      <c r="H83" s="1645"/>
      <c r="I83" s="1102" t="s">
        <v>513</v>
      </c>
      <c r="J83" s="1285">
        <f t="shared" si="0"/>
        <v>389012</v>
      </c>
      <c r="K83" s="1285">
        <f t="shared" si="0"/>
        <v>616672</v>
      </c>
      <c r="L83" s="1286">
        <f t="shared" si="0"/>
        <v>0</v>
      </c>
    </row>
    <row r="85" ht="12.75" customHeight="1"/>
    <row r="86" spans="10:12" ht="12.75">
      <c r="J86" s="1079"/>
      <c r="K86" s="1079"/>
      <c r="L86" s="1079"/>
    </row>
    <row r="87" spans="7:12" ht="12.75">
      <c r="G87" s="1320"/>
      <c r="J87" s="1079"/>
      <c r="K87" s="1079"/>
      <c r="L87" s="1079"/>
    </row>
    <row r="88" spans="10:12" ht="12.75">
      <c r="J88" s="1079"/>
      <c r="K88" s="1079"/>
      <c r="L88" s="1079"/>
    </row>
    <row r="89" spans="10:12" ht="12.75">
      <c r="J89" s="1079"/>
      <c r="K89" s="1079"/>
      <c r="L89" s="1079"/>
    </row>
    <row r="91" spans="10:12" ht="12.75">
      <c r="J91" s="1079"/>
      <c r="K91" s="1079"/>
      <c r="L91" s="1079"/>
    </row>
    <row r="92" spans="10:12" ht="12.75">
      <c r="J92" s="1079"/>
      <c r="K92" s="1079"/>
      <c r="L92" s="1079"/>
    </row>
    <row r="93" spans="10:12" ht="12.75">
      <c r="J93" s="1079"/>
      <c r="K93" s="1079"/>
      <c r="L93" s="1079"/>
    </row>
    <row r="94" spans="10:12" ht="12.75">
      <c r="J94" s="1079"/>
      <c r="K94" s="1079"/>
      <c r="L94" s="1079"/>
    </row>
    <row r="95" spans="10:12" ht="12.75">
      <c r="J95" s="1079"/>
      <c r="K95" s="1079"/>
      <c r="L95" s="1079"/>
    </row>
  </sheetData>
  <sheetProtection/>
  <mergeCells count="159">
    <mergeCell ref="G39:G42"/>
    <mergeCell ref="H39:H42"/>
    <mergeCell ref="F60:F63"/>
    <mergeCell ref="F64:F67"/>
    <mergeCell ref="F68:F71"/>
    <mergeCell ref="F72:F75"/>
    <mergeCell ref="G68:G71"/>
    <mergeCell ref="H68:H71"/>
    <mergeCell ref="H56:H59"/>
    <mergeCell ref="H60:H63"/>
    <mergeCell ref="F76:F79"/>
    <mergeCell ref="A39:A42"/>
    <mergeCell ref="B39:B42"/>
    <mergeCell ref="C39:C42"/>
    <mergeCell ref="D39:D42"/>
    <mergeCell ref="E39:E42"/>
    <mergeCell ref="B68:B71"/>
    <mergeCell ref="C68:C71"/>
    <mergeCell ref="D68:D71"/>
    <mergeCell ref="E68:E71"/>
    <mergeCell ref="F31:F34"/>
    <mergeCell ref="F35:F38"/>
    <mergeCell ref="F43:F46"/>
    <mergeCell ref="F48:F51"/>
    <mergeCell ref="F52:F55"/>
    <mergeCell ref="F56:F59"/>
    <mergeCell ref="F39:F42"/>
    <mergeCell ref="F4:F5"/>
    <mergeCell ref="F7:F10"/>
    <mergeCell ref="F11:F14"/>
    <mergeCell ref="F19:F22"/>
    <mergeCell ref="F23:F26"/>
    <mergeCell ref="F27:F30"/>
    <mergeCell ref="H27:H30"/>
    <mergeCell ref="A27:A30"/>
    <mergeCell ref="B27:B30"/>
    <mergeCell ref="C27:C30"/>
    <mergeCell ref="D27:D30"/>
    <mergeCell ref="E27:E30"/>
    <mergeCell ref="G27:G30"/>
    <mergeCell ref="H76:H79"/>
    <mergeCell ref="A80:G83"/>
    <mergeCell ref="H80:H83"/>
    <mergeCell ref="A2:L2"/>
    <mergeCell ref="A76:A79"/>
    <mergeCell ref="B76:B79"/>
    <mergeCell ref="C76:C79"/>
    <mergeCell ref="D76:D79"/>
    <mergeCell ref="E76:E79"/>
    <mergeCell ref="G76:G79"/>
    <mergeCell ref="H35:H38"/>
    <mergeCell ref="A72:A75"/>
    <mergeCell ref="B72:B75"/>
    <mergeCell ref="C72:C75"/>
    <mergeCell ref="D72:D75"/>
    <mergeCell ref="E72:E75"/>
    <mergeCell ref="G72:G75"/>
    <mergeCell ref="H72:H75"/>
    <mergeCell ref="H64:H67"/>
    <mergeCell ref="A68:A71"/>
    <mergeCell ref="D31:D34"/>
    <mergeCell ref="E31:E34"/>
    <mergeCell ref="G31:G34"/>
    <mergeCell ref="H31:H34"/>
    <mergeCell ref="A35:A38"/>
    <mergeCell ref="B35:B38"/>
    <mergeCell ref="C35:C38"/>
    <mergeCell ref="D35:D38"/>
    <mergeCell ref="E35:E38"/>
    <mergeCell ref="G35:G38"/>
    <mergeCell ref="A64:A67"/>
    <mergeCell ref="B64:B67"/>
    <mergeCell ref="C64:C67"/>
    <mergeCell ref="D64:D67"/>
    <mergeCell ref="E64:E67"/>
    <mergeCell ref="G64:G67"/>
    <mergeCell ref="A60:A63"/>
    <mergeCell ref="B60:B63"/>
    <mergeCell ref="C60:C63"/>
    <mergeCell ref="D60:D63"/>
    <mergeCell ref="E60:E63"/>
    <mergeCell ref="G60:G63"/>
    <mergeCell ref="A56:A59"/>
    <mergeCell ref="B56:B59"/>
    <mergeCell ref="C56:C59"/>
    <mergeCell ref="D56:D59"/>
    <mergeCell ref="E56:E59"/>
    <mergeCell ref="G56:G59"/>
    <mergeCell ref="H48:H51"/>
    <mergeCell ref="A52:A55"/>
    <mergeCell ref="B52:B55"/>
    <mergeCell ref="C52:C55"/>
    <mergeCell ref="D52:D55"/>
    <mergeCell ref="E52:E55"/>
    <mergeCell ref="G52:G55"/>
    <mergeCell ref="H52:H55"/>
    <mergeCell ref="A48:A51"/>
    <mergeCell ref="B48:B51"/>
    <mergeCell ref="C48:C51"/>
    <mergeCell ref="D48:D51"/>
    <mergeCell ref="E48:E51"/>
    <mergeCell ref="G48:G51"/>
    <mergeCell ref="H23:H26"/>
    <mergeCell ref="A43:A46"/>
    <mergeCell ref="B43:B46"/>
    <mergeCell ref="C43:C46"/>
    <mergeCell ref="D43:D46"/>
    <mergeCell ref="E43:E46"/>
    <mergeCell ref="G43:G46"/>
    <mergeCell ref="H43:H46"/>
    <mergeCell ref="A31:A34"/>
    <mergeCell ref="B31:B34"/>
    <mergeCell ref="A23:A26"/>
    <mergeCell ref="B23:B26"/>
    <mergeCell ref="C23:C26"/>
    <mergeCell ref="D23:D26"/>
    <mergeCell ref="E23:E26"/>
    <mergeCell ref="G23:G26"/>
    <mergeCell ref="B19:B22"/>
    <mergeCell ref="C19:C22"/>
    <mergeCell ref="D19:D22"/>
    <mergeCell ref="E19:E22"/>
    <mergeCell ref="G19:G22"/>
    <mergeCell ref="H19:H22"/>
    <mergeCell ref="G7:G10"/>
    <mergeCell ref="H7:H10"/>
    <mergeCell ref="D11:D14"/>
    <mergeCell ref="G11:G14"/>
    <mergeCell ref="H11:H14"/>
    <mergeCell ref="B11:B14"/>
    <mergeCell ref="C11:C14"/>
    <mergeCell ref="E11:E14"/>
    <mergeCell ref="B4:B5"/>
    <mergeCell ref="C4:C5"/>
    <mergeCell ref="D4:D5"/>
    <mergeCell ref="E4:E5"/>
    <mergeCell ref="A7:A10"/>
    <mergeCell ref="B7:B10"/>
    <mergeCell ref="C7:C10"/>
    <mergeCell ref="D7:D10"/>
    <mergeCell ref="E7:E10"/>
    <mergeCell ref="A11:A14"/>
    <mergeCell ref="A19:A22"/>
    <mergeCell ref="C31:C34"/>
    <mergeCell ref="K1:L1"/>
    <mergeCell ref="A3:H3"/>
    <mergeCell ref="G4:G5"/>
    <mergeCell ref="H4:H5"/>
    <mergeCell ref="I4:I5"/>
    <mergeCell ref="J4:L4"/>
    <mergeCell ref="A4:A5"/>
    <mergeCell ref="G15:G18"/>
    <mergeCell ref="H15:H18"/>
    <mergeCell ref="A15:A18"/>
    <mergeCell ref="B15:B18"/>
    <mergeCell ref="C15:C18"/>
    <mergeCell ref="D15:D18"/>
    <mergeCell ref="E15:E18"/>
    <mergeCell ref="F15:F18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73" r:id="rId1"/>
  <rowBreaks count="1" manualBreakCount="1">
    <brk id="46" max="10" man="1"/>
  </rowBreaks>
  <colBreaks count="1" manualBreakCount="1">
    <brk id="12" max="1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G54"/>
  <sheetViews>
    <sheetView showGridLines="0" view="pageBreakPreview" zoomScale="75" zoomScaleNormal="75" zoomScaleSheetLayoutView="75" zoomScalePageLayoutView="0" workbookViewId="0" topLeftCell="A1">
      <selection activeCell="C28" sqref="C28"/>
    </sheetView>
  </sheetViews>
  <sheetFormatPr defaultColWidth="9.00390625" defaultRowHeight="24.75" customHeight="1"/>
  <cols>
    <col min="1" max="1" width="4.125" style="63" customWidth="1"/>
    <col min="2" max="2" width="95.25390625" style="221" customWidth="1"/>
    <col min="3" max="3" width="25.25390625" style="338" customWidth="1"/>
    <col min="4" max="4" width="9.125" style="10" customWidth="1"/>
    <col min="5" max="5" width="10.00390625" style="10" bestFit="1" customWidth="1"/>
    <col min="6" max="6" width="10.625" style="10" bestFit="1" customWidth="1"/>
    <col min="7" max="16384" width="9.125" style="10" customWidth="1"/>
  </cols>
  <sheetData>
    <row r="1" spans="2:3" ht="57.75" customHeight="1">
      <c r="B1" s="344"/>
      <c r="C1" s="344" t="s">
        <v>637</v>
      </c>
    </row>
    <row r="2" spans="1:3" ht="12.75" customHeight="1">
      <c r="A2" s="1292"/>
      <c r="B2" s="10"/>
      <c r="C2" s="341"/>
    </row>
    <row r="3" spans="1:7" ht="63" customHeight="1">
      <c r="A3" s="1654" t="s">
        <v>598</v>
      </c>
      <c r="B3" s="1655"/>
      <c r="C3" s="1655"/>
      <c r="E3" s="1652"/>
      <c r="F3" s="1653"/>
      <c r="G3" s="1653"/>
    </row>
    <row r="4" spans="1:3" ht="15.75">
      <c r="A4" s="209"/>
      <c r="B4" s="209"/>
      <c r="C4" s="209"/>
    </row>
    <row r="5" spans="1:3" ht="15.75" thickBot="1">
      <c r="A5" s="10"/>
      <c r="B5" s="55"/>
      <c r="C5" s="250" t="s">
        <v>116</v>
      </c>
    </row>
    <row r="6" spans="1:3" ht="23.25" customHeight="1" thickBot="1">
      <c r="A6" s="1656" t="s">
        <v>198</v>
      </c>
      <c r="B6" s="1657"/>
      <c r="C6" s="1658"/>
    </row>
    <row r="7" spans="1:4" ht="54" customHeight="1" thickBot="1">
      <c r="A7" s="243" t="s">
        <v>118</v>
      </c>
      <c r="B7" s="245" t="s">
        <v>420</v>
      </c>
      <c r="C7" s="458" t="s">
        <v>550</v>
      </c>
      <c r="D7" s="222"/>
    </row>
    <row r="8" spans="1:3" ht="12.75" thickBot="1">
      <c r="A8" s="490">
        <v>1</v>
      </c>
      <c r="B8" s="491">
        <v>2</v>
      </c>
      <c r="C8" s="492">
        <v>3</v>
      </c>
    </row>
    <row r="9" spans="1:3" ht="11.25" customHeight="1" thickBot="1">
      <c r="A9" s="459"/>
      <c r="B9" s="462"/>
      <c r="C9" s="460"/>
    </row>
    <row r="10" spans="1:6" ht="24.75" customHeight="1" thickBot="1">
      <c r="A10" s="461" t="s">
        <v>199</v>
      </c>
      <c r="B10" s="241" t="s">
        <v>200</v>
      </c>
      <c r="C10" s="239">
        <f>SUM(C11)</f>
        <v>0</v>
      </c>
      <c r="F10" s="680"/>
    </row>
    <row r="11" spans="1:3" ht="24.75" customHeight="1" thickBot="1">
      <c r="A11" s="223" t="s">
        <v>155</v>
      </c>
      <c r="B11" s="224" t="s">
        <v>33</v>
      </c>
      <c r="C11" s="225">
        <v>0</v>
      </c>
    </row>
    <row r="12" spans="1:3" ht="24.75" customHeight="1" thickBot="1">
      <c r="A12" s="240" t="s">
        <v>201</v>
      </c>
      <c r="B12" s="241" t="s">
        <v>202</v>
      </c>
      <c r="C12" s="242">
        <f>SUM(C13:C18)</f>
        <v>8086819</v>
      </c>
    </row>
    <row r="13" spans="1:3" ht="24.75" customHeight="1">
      <c r="A13" s="226" t="s">
        <v>155</v>
      </c>
      <c r="B13" s="227" t="s">
        <v>191</v>
      </c>
      <c r="C13" s="819">
        <v>30000</v>
      </c>
    </row>
    <row r="14" spans="1:3" ht="24.75" customHeight="1">
      <c r="A14" s="228" t="s">
        <v>156</v>
      </c>
      <c r="B14" s="229" t="s">
        <v>192</v>
      </c>
      <c r="C14" s="234">
        <v>30000</v>
      </c>
    </row>
    <row r="15" spans="1:3" ht="24.75" customHeight="1">
      <c r="A15" s="228" t="s">
        <v>157</v>
      </c>
      <c r="B15" s="229" t="s">
        <v>193</v>
      </c>
      <c r="C15" s="234">
        <v>361654</v>
      </c>
    </row>
    <row r="16" spans="1:3" ht="24.75" customHeight="1">
      <c r="A16" s="228" t="s">
        <v>158</v>
      </c>
      <c r="B16" s="229" t="s">
        <v>194</v>
      </c>
      <c r="C16" s="234">
        <v>7085165</v>
      </c>
    </row>
    <row r="17" spans="1:3" ht="24.75" customHeight="1">
      <c r="A17" s="228" t="s">
        <v>159</v>
      </c>
      <c r="B17" s="229" t="s">
        <v>196</v>
      </c>
      <c r="C17" s="234">
        <v>550000</v>
      </c>
    </row>
    <row r="18" spans="1:3" ht="24.75" customHeight="1" thickBot="1">
      <c r="A18" s="228" t="s">
        <v>160</v>
      </c>
      <c r="B18" s="231" t="s">
        <v>197</v>
      </c>
      <c r="C18" s="820">
        <v>30000</v>
      </c>
    </row>
    <row r="19" spans="1:3" ht="24.75" customHeight="1" thickBot="1">
      <c r="A19" s="243" t="s">
        <v>203</v>
      </c>
      <c r="B19" s="244" t="s">
        <v>204</v>
      </c>
      <c r="C19" s="246">
        <f>SUM(C20+C21)</f>
        <v>8086819</v>
      </c>
    </row>
    <row r="20" spans="1:3" ht="24.75" customHeight="1">
      <c r="A20" s="1659"/>
      <c r="B20" s="402" t="s">
        <v>338</v>
      </c>
      <c r="C20" s="401">
        <f>SUM(C23+C26+C29+C32+C35+C38+C42+C45+C48+C51)</f>
        <v>3801800</v>
      </c>
    </row>
    <row r="21" spans="1:3" ht="24.75" customHeight="1" thickBot="1">
      <c r="A21" s="1660"/>
      <c r="B21" s="403" t="s">
        <v>337</v>
      </c>
      <c r="C21" s="404">
        <f>SUM(C24+C27+C30+C33+C36+C39+C43+C46+C49+C52)</f>
        <v>4285019</v>
      </c>
    </row>
    <row r="22" spans="1:5" ht="24.75" customHeight="1">
      <c r="A22" s="226" t="s">
        <v>155</v>
      </c>
      <c r="B22" s="232" t="s">
        <v>462</v>
      </c>
      <c r="C22" s="395">
        <f>SUM(C23+C24)</f>
        <v>432078</v>
      </c>
      <c r="E22" s="92"/>
    </row>
    <row r="23" spans="1:3" ht="24.75" customHeight="1">
      <c r="A23" s="339"/>
      <c r="B23" s="396" t="s">
        <v>338</v>
      </c>
      <c r="C23" s="230">
        <v>0</v>
      </c>
    </row>
    <row r="24" spans="1:4" ht="24.75" customHeight="1">
      <c r="A24" s="226"/>
      <c r="B24" s="396" t="s">
        <v>337</v>
      </c>
      <c r="C24" s="230">
        <v>432078</v>
      </c>
      <c r="D24" s="92"/>
    </row>
    <row r="25" spans="1:4" ht="24.75" customHeight="1">
      <c r="A25" s="226" t="s">
        <v>156</v>
      </c>
      <c r="B25" s="233" t="s">
        <v>108</v>
      </c>
      <c r="C25" s="238">
        <f>SUM(C26+C27)</f>
        <v>2432941</v>
      </c>
      <c r="D25" s="92"/>
    </row>
    <row r="26" spans="1:3" ht="24.75" customHeight="1">
      <c r="A26" s="339"/>
      <c r="B26" s="396" t="s">
        <v>338</v>
      </c>
      <c r="C26" s="234">
        <v>250000</v>
      </c>
    </row>
    <row r="27" spans="1:3" ht="32.25" customHeight="1">
      <c r="A27" s="226"/>
      <c r="B27" s="396" t="s">
        <v>337</v>
      </c>
      <c r="C27" s="234">
        <v>2182941</v>
      </c>
    </row>
    <row r="28" spans="1:3" ht="24.75" customHeight="1">
      <c r="A28" s="223" t="s">
        <v>157</v>
      </c>
      <c r="B28" s="235" t="s">
        <v>476</v>
      </c>
      <c r="C28" s="238">
        <f>SUM(C29+C30)</f>
        <v>58000</v>
      </c>
    </row>
    <row r="29" spans="1:3" ht="24.75" customHeight="1">
      <c r="A29" s="339"/>
      <c r="B29" s="397" t="s">
        <v>338</v>
      </c>
      <c r="C29" s="230">
        <v>58000</v>
      </c>
    </row>
    <row r="30" spans="1:3" ht="24.75" customHeight="1">
      <c r="A30" s="226"/>
      <c r="B30" s="396" t="s">
        <v>337</v>
      </c>
      <c r="C30" s="230">
        <v>0</v>
      </c>
    </row>
    <row r="31" spans="1:3" ht="24.75" customHeight="1">
      <c r="A31" s="228" t="s">
        <v>158</v>
      </c>
      <c r="B31" s="235" t="s">
        <v>32</v>
      </c>
      <c r="C31" s="238">
        <f>SUM(C32+C33)</f>
        <v>1556500</v>
      </c>
    </row>
    <row r="32" spans="1:3" ht="24.75" customHeight="1">
      <c r="A32" s="398"/>
      <c r="B32" s="397" t="s">
        <v>338</v>
      </c>
      <c r="C32" s="230">
        <v>1556500</v>
      </c>
    </row>
    <row r="33" spans="1:3" ht="24.75" customHeight="1">
      <c r="A33" s="399"/>
      <c r="B33" s="396" t="s">
        <v>337</v>
      </c>
      <c r="C33" s="230">
        <v>0</v>
      </c>
    </row>
    <row r="34" spans="1:3" ht="24.75" customHeight="1">
      <c r="A34" s="228" t="s">
        <v>159</v>
      </c>
      <c r="B34" s="237" t="s">
        <v>188</v>
      </c>
      <c r="C34" s="238">
        <f>SUM(C35+C36)</f>
        <v>1270000</v>
      </c>
    </row>
    <row r="35" spans="1:3" ht="24.75" customHeight="1">
      <c r="A35" s="339"/>
      <c r="B35" s="397" t="s">
        <v>338</v>
      </c>
      <c r="C35" s="230">
        <v>0</v>
      </c>
    </row>
    <row r="36" spans="1:3" ht="24.75" customHeight="1">
      <c r="A36" s="226"/>
      <c r="B36" s="396" t="s">
        <v>337</v>
      </c>
      <c r="C36" s="230">
        <v>1270000</v>
      </c>
    </row>
    <row r="37" spans="1:3" ht="24.75" customHeight="1">
      <c r="A37" s="228" t="s">
        <v>160</v>
      </c>
      <c r="B37" s="236" t="s">
        <v>189</v>
      </c>
      <c r="C37" s="400">
        <f>SUM(C38+C39)</f>
        <v>735000</v>
      </c>
    </row>
    <row r="38" spans="1:3" ht="24.75" customHeight="1">
      <c r="A38" s="339"/>
      <c r="B38" s="397" t="s">
        <v>338</v>
      </c>
      <c r="C38" s="230">
        <v>335000</v>
      </c>
    </row>
    <row r="39" spans="1:3" ht="24.75" customHeight="1" thickBot="1">
      <c r="A39" s="1119"/>
      <c r="B39" s="822" t="s">
        <v>337</v>
      </c>
      <c r="C39" s="493">
        <v>400000</v>
      </c>
    </row>
    <row r="40" spans="1:3" ht="12.75" thickBot="1">
      <c r="A40" s="490">
        <v>1</v>
      </c>
      <c r="B40" s="491">
        <v>2</v>
      </c>
      <c r="C40" s="492">
        <v>3</v>
      </c>
    </row>
    <row r="41" spans="1:3" ht="24.75" customHeight="1">
      <c r="A41" s="228" t="s">
        <v>161</v>
      </c>
      <c r="B41" s="1117" t="s">
        <v>174</v>
      </c>
      <c r="C41" s="400">
        <f>SUM(C42+C43)</f>
        <v>118000</v>
      </c>
    </row>
    <row r="42" spans="1:3" ht="24.75" customHeight="1">
      <c r="A42" s="223"/>
      <c r="B42" s="397" t="s">
        <v>338</v>
      </c>
      <c r="C42" s="230">
        <v>118000</v>
      </c>
    </row>
    <row r="43" spans="1:3" ht="30.75" customHeight="1">
      <c r="A43" s="223"/>
      <c r="B43" s="396" t="s">
        <v>337</v>
      </c>
      <c r="C43" s="230">
        <v>0</v>
      </c>
    </row>
    <row r="44" spans="1:3" ht="34.5" customHeight="1">
      <c r="A44" s="228" t="s">
        <v>162</v>
      </c>
      <c r="B44" s="1117" t="s">
        <v>190</v>
      </c>
      <c r="C44" s="400">
        <f>SUM(C45+C46)</f>
        <v>230000</v>
      </c>
    </row>
    <row r="45" spans="1:3" ht="24.75" customHeight="1">
      <c r="A45" s="223"/>
      <c r="B45" s="397" t="s">
        <v>338</v>
      </c>
      <c r="C45" s="230">
        <v>230000</v>
      </c>
    </row>
    <row r="46" spans="1:3" ht="24.75" customHeight="1">
      <c r="A46" s="223"/>
      <c r="B46" s="396" t="s">
        <v>337</v>
      </c>
      <c r="C46" s="230">
        <v>0</v>
      </c>
    </row>
    <row r="47" spans="1:3" ht="24.75" customHeight="1">
      <c r="A47" s="228" t="s">
        <v>163</v>
      </c>
      <c r="B47" s="1117" t="s">
        <v>101</v>
      </c>
      <c r="C47" s="400">
        <f>SUM(C48+C49)</f>
        <v>54300</v>
      </c>
    </row>
    <row r="48" spans="1:3" ht="24.75" customHeight="1">
      <c r="A48" s="223"/>
      <c r="B48" s="397" t="s">
        <v>338</v>
      </c>
      <c r="C48" s="230">
        <v>54300</v>
      </c>
    </row>
    <row r="49" spans="1:3" ht="24.75" customHeight="1">
      <c r="A49" s="223"/>
      <c r="B49" s="396" t="s">
        <v>337</v>
      </c>
      <c r="C49" s="230">
        <v>0</v>
      </c>
    </row>
    <row r="50" spans="1:3" ht="24.75" customHeight="1">
      <c r="A50" s="228" t="s">
        <v>164</v>
      </c>
      <c r="B50" s="1117" t="s">
        <v>93</v>
      </c>
      <c r="C50" s="400">
        <f>SUM(C51+C52)</f>
        <v>1200000</v>
      </c>
    </row>
    <row r="51" spans="1:3" ht="24.75" customHeight="1">
      <c r="A51" s="223"/>
      <c r="B51" s="397" t="s">
        <v>338</v>
      </c>
      <c r="C51" s="230">
        <v>1200000</v>
      </c>
    </row>
    <row r="52" spans="1:3" ht="24.75" customHeight="1">
      <c r="A52" s="226"/>
      <c r="B52" s="396" t="s">
        <v>337</v>
      </c>
      <c r="C52" s="230">
        <v>0</v>
      </c>
    </row>
    <row r="53" spans="1:3" ht="24.75" customHeight="1">
      <c r="A53" s="1118" t="s">
        <v>424</v>
      </c>
      <c r="B53" s="1120" t="s">
        <v>320</v>
      </c>
      <c r="C53" s="1121">
        <f>SUM(C54)</f>
        <v>0</v>
      </c>
    </row>
    <row r="54" spans="1:3" ht="27.75" customHeight="1" thickBot="1">
      <c r="A54" s="821" t="s">
        <v>155</v>
      </c>
      <c r="B54" s="1122" t="s">
        <v>551</v>
      </c>
      <c r="C54" s="1123">
        <v>0</v>
      </c>
    </row>
  </sheetData>
  <sheetProtection/>
  <mergeCells count="4">
    <mergeCell ref="E3:G3"/>
    <mergeCell ref="A3:C3"/>
    <mergeCell ref="A6:C6"/>
    <mergeCell ref="A20:A21"/>
  </mergeCells>
  <printOptions horizontalCentered="1"/>
  <pageMargins left="0.7874015748031497" right="0.3937007874015748" top="0.7874015748031497" bottom="0.3937007874015748" header="0.5905511811023623" footer="0.5118110236220472"/>
  <pageSetup cellComments="asDisplayed" fitToHeight="2" horizontalDpi="600" verticalDpi="600" orientation="portrait" paperSize="9" scale="79" r:id="rId1"/>
  <rowBreaks count="1" manualBreakCount="1">
    <brk id="3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451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6.75390625" style="10" customWidth="1"/>
    <col min="2" max="2" width="9.125" style="10" customWidth="1"/>
    <col min="3" max="3" width="51.375" style="10" customWidth="1"/>
    <col min="4" max="4" width="12.25390625" style="10" bestFit="1" customWidth="1"/>
    <col min="5" max="5" width="12.25390625" style="10" customWidth="1"/>
    <col min="6" max="6" width="16.125" style="10" customWidth="1"/>
    <col min="7" max="7" width="18.25390625" style="10" customWidth="1"/>
    <col min="8" max="9" width="12.75390625" style="10" customWidth="1"/>
    <col min="10" max="10" width="19.75390625" style="10" customWidth="1"/>
    <col min="11" max="12" width="14.875" style="10" customWidth="1"/>
    <col min="13" max="13" width="13.875" style="10" customWidth="1"/>
    <col min="14" max="14" width="16.75390625" style="10" hidden="1" customWidth="1"/>
    <col min="15" max="15" width="29.625" style="10" hidden="1" customWidth="1"/>
    <col min="16" max="16384" width="9.125" style="10" customWidth="1"/>
  </cols>
  <sheetData>
    <row r="1" spans="12:14" ht="55.5" customHeight="1">
      <c r="L1" s="1377" t="s">
        <v>625</v>
      </c>
      <c r="M1" s="1378"/>
      <c r="N1" s="128"/>
    </row>
    <row r="2" spans="1:14" ht="15.75">
      <c r="A2" s="1379" t="s">
        <v>48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350"/>
    </row>
    <row r="3" spans="1:14" ht="12">
      <c r="A3" s="1380" t="s">
        <v>429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406"/>
    </row>
    <row r="4" spans="1:14" s="29" customFormat="1" ht="33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525" t="s">
        <v>116</v>
      </c>
      <c r="N4" s="10"/>
    </row>
    <row r="5" spans="2:13" ht="12" customHeight="1">
      <c r="B5" s="1374" t="s">
        <v>440</v>
      </c>
      <c r="C5" s="1358" t="s">
        <v>459</v>
      </c>
      <c r="D5" s="1354" t="s">
        <v>421</v>
      </c>
      <c r="E5" s="1366" t="s">
        <v>78</v>
      </c>
      <c r="F5" s="1367"/>
      <c r="G5" s="1367"/>
      <c r="H5" s="1367"/>
      <c r="I5" s="1367"/>
      <c r="J5" s="1367"/>
      <c r="K5" s="1367"/>
      <c r="L5" s="1367"/>
      <c r="M5" s="1368"/>
    </row>
    <row r="6" spans="2:13" ht="12">
      <c r="B6" s="1375"/>
      <c r="C6" s="1359"/>
      <c r="D6" s="1355"/>
      <c r="E6" s="1357" t="s">
        <v>338</v>
      </c>
      <c r="F6" s="1363" t="s">
        <v>78</v>
      </c>
      <c r="G6" s="1364"/>
      <c r="H6" s="1364"/>
      <c r="I6" s="1364"/>
      <c r="J6" s="1364"/>
      <c r="K6" s="1364"/>
      <c r="L6" s="1365"/>
      <c r="M6" s="1371" t="s">
        <v>337</v>
      </c>
    </row>
    <row r="7" spans="2:13" ht="37.5" customHeight="1">
      <c r="B7" s="1375"/>
      <c r="C7" s="1359"/>
      <c r="D7" s="1355"/>
      <c r="E7" s="1355"/>
      <c r="F7" s="1361" t="s">
        <v>492</v>
      </c>
      <c r="G7" s="1361"/>
      <c r="H7" s="1361" t="s">
        <v>494</v>
      </c>
      <c r="I7" s="1361" t="s">
        <v>596</v>
      </c>
      <c r="J7" s="1362" t="s">
        <v>593</v>
      </c>
      <c r="K7" s="1352" t="s">
        <v>335</v>
      </c>
      <c r="L7" s="1361" t="s">
        <v>336</v>
      </c>
      <c r="M7" s="1372"/>
    </row>
    <row r="8" spans="2:13" ht="200.25" customHeight="1">
      <c r="B8" s="1375"/>
      <c r="C8" s="1359"/>
      <c r="D8" s="1355"/>
      <c r="E8" s="1355"/>
      <c r="F8" s="1009" t="s">
        <v>491</v>
      </c>
      <c r="G8" s="1009" t="s">
        <v>493</v>
      </c>
      <c r="H8" s="1361"/>
      <c r="I8" s="1361"/>
      <c r="J8" s="1362"/>
      <c r="K8" s="1353"/>
      <c r="L8" s="1361"/>
      <c r="M8" s="1372"/>
    </row>
    <row r="9" spans="1:14" ht="12.75" thickBot="1">
      <c r="A9" s="29"/>
      <c r="B9" s="704">
        <v>1</v>
      </c>
      <c r="C9" s="705">
        <v>2</v>
      </c>
      <c r="D9" s="706">
        <v>3</v>
      </c>
      <c r="E9" s="706">
        <v>4</v>
      </c>
      <c r="F9" s="706">
        <v>5</v>
      </c>
      <c r="G9" s="706">
        <v>6</v>
      </c>
      <c r="H9" s="706">
        <v>7</v>
      </c>
      <c r="I9" s="706">
        <v>8</v>
      </c>
      <c r="J9" s="706">
        <v>9</v>
      </c>
      <c r="K9" s="706">
        <v>10</v>
      </c>
      <c r="L9" s="706">
        <v>11</v>
      </c>
      <c r="M9" s="466">
        <v>12</v>
      </c>
      <c r="N9" s="29"/>
    </row>
    <row r="10" spans="2:13" ht="12"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703"/>
    </row>
    <row r="11" spans="2:13" ht="12">
      <c r="B11" s="141" t="s">
        <v>81</v>
      </c>
      <c r="C11" s="21" t="s">
        <v>82</v>
      </c>
      <c r="D11" s="125">
        <f>SUM(D76)</f>
        <v>287000</v>
      </c>
      <c r="E11" s="125">
        <f>SUM(E76)</f>
        <v>287000</v>
      </c>
      <c r="F11" s="125">
        <f aca="true" t="shared" si="0" ref="F11:L11">SUM(F76)</f>
        <v>0</v>
      </c>
      <c r="G11" s="125">
        <f t="shared" si="0"/>
        <v>281000</v>
      </c>
      <c r="H11" s="125">
        <f t="shared" si="0"/>
        <v>6000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495">
        <f>SUM(M76)</f>
        <v>0</v>
      </c>
    </row>
    <row r="12" spans="2:13" ht="12">
      <c r="B12" s="142"/>
      <c r="C12" s="16"/>
      <c r="D12" s="130"/>
      <c r="E12" s="124"/>
      <c r="F12" s="124"/>
      <c r="G12" s="124"/>
      <c r="H12" s="124"/>
      <c r="I12" s="124"/>
      <c r="J12" s="124"/>
      <c r="K12" s="124"/>
      <c r="L12" s="124"/>
      <c r="M12" s="494"/>
    </row>
    <row r="13" spans="2:13" ht="12">
      <c r="B13" s="142" t="s">
        <v>83</v>
      </c>
      <c r="C13" s="16" t="s">
        <v>460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494"/>
    </row>
    <row r="14" spans="2:13" ht="12">
      <c r="B14" s="141"/>
      <c r="C14" s="21" t="s">
        <v>461</v>
      </c>
      <c r="D14" s="125">
        <f>SUM(D83)</f>
        <v>1520000</v>
      </c>
      <c r="E14" s="125">
        <f>SUM(E83)</f>
        <v>20000</v>
      </c>
      <c r="F14" s="125">
        <f aca="true" t="shared" si="1" ref="F14:L14">SUM(F83)</f>
        <v>0</v>
      </c>
      <c r="G14" s="125">
        <f t="shared" si="1"/>
        <v>20000</v>
      </c>
      <c r="H14" s="125">
        <f t="shared" si="1"/>
        <v>0</v>
      </c>
      <c r="I14" s="125">
        <f t="shared" si="1"/>
        <v>0</v>
      </c>
      <c r="J14" s="125">
        <f t="shared" si="1"/>
        <v>0</v>
      </c>
      <c r="K14" s="125">
        <f t="shared" si="1"/>
        <v>0</v>
      </c>
      <c r="L14" s="125">
        <f t="shared" si="1"/>
        <v>0</v>
      </c>
      <c r="M14" s="495">
        <f>SUM(M83)</f>
        <v>1500000</v>
      </c>
    </row>
    <row r="15" spans="2:13" ht="12">
      <c r="B15" s="17"/>
      <c r="C15" s="16"/>
      <c r="D15" s="124"/>
      <c r="E15" s="124"/>
      <c r="F15" s="124"/>
      <c r="G15" s="124"/>
      <c r="H15" s="124"/>
      <c r="I15" s="124"/>
      <c r="J15" s="124"/>
      <c r="K15" s="124"/>
      <c r="L15" s="124"/>
      <c r="M15" s="494"/>
    </row>
    <row r="16" spans="2:13" ht="12">
      <c r="B16" s="143">
        <v>600</v>
      </c>
      <c r="C16" s="21" t="s">
        <v>441</v>
      </c>
      <c r="D16" s="125">
        <f aca="true" t="shared" si="2" ref="D16:M16">SUM(D88+D272+D295)</f>
        <v>14493823</v>
      </c>
      <c r="E16" s="125">
        <f t="shared" si="2"/>
        <v>7275416</v>
      </c>
      <c r="F16" s="125">
        <f t="shared" si="2"/>
        <v>0</v>
      </c>
      <c r="G16" s="125">
        <f t="shared" si="2"/>
        <v>7275416</v>
      </c>
      <c r="H16" s="125">
        <f t="shared" si="2"/>
        <v>0</v>
      </c>
      <c r="I16" s="125">
        <f t="shared" si="2"/>
        <v>0</v>
      </c>
      <c r="J16" s="125">
        <f t="shared" si="2"/>
        <v>0</v>
      </c>
      <c r="K16" s="125">
        <f t="shared" si="2"/>
        <v>0</v>
      </c>
      <c r="L16" s="125">
        <f t="shared" si="2"/>
        <v>0</v>
      </c>
      <c r="M16" s="495">
        <f t="shared" si="2"/>
        <v>7218407</v>
      </c>
    </row>
    <row r="17" spans="2:13" ht="12">
      <c r="B17" s="17"/>
      <c r="C17" s="16"/>
      <c r="D17" s="124"/>
      <c r="E17" s="124"/>
      <c r="F17" s="124"/>
      <c r="G17" s="124"/>
      <c r="H17" s="124"/>
      <c r="I17" s="124"/>
      <c r="J17" s="124"/>
      <c r="K17" s="124"/>
      <c r="L17" s="124"/>
      <c r="M17" s="494"/>
    </row>
    <row r="18" spans="2:13" ht="12">
      <c r="B18" s="143">
        <v>630</v>
      </c>
      <c r="C18" s="21" t="s">
        <v>442</v>
      </c>
      <c r="D18" s="125">
        <f>SUM(D93)</f>
        <v>871800</v>
      </c>
      <c r="E18" s="125">
        <f>SUM(E93)</f>
        <v>21800</v>
      </c>
      <c r="F18" s="125">
        <f aca="true" t="shared" si="3" ref="F18:L18">SUM(F93)</f>
        <v>0</v>
      </c>
      <c r="G18" s="125">
        <f t="shared" si="3"/>
        <v>12100</v>
      </c>
      <c r="H18" s="125">
        <f t="shared" si="3"/>
        <v>9700</v>
      </c>
      <c r="I18" s="125">
        <f t="shared" si="3"/>
        <v>0</v>
      </c>
      <c r="J18" s="125">
        <f t="shared" si="3"/>
        <v>0</v>
      </c>
      <c r="K18" s="125">
        <f t="shared" si="3"/>
        <v>0</v>
      </c>
      <c r="L18" s="125">
        <f t="shared" si="3"/>
        <v>0</v>
      </c>
      <c r="M18" s="495">
        <f>(M93)</f>
        <v>850000</v>
      </c>
    </row>
    <row r="19" spans="2:13" ht="12">
      <c r="B19" s="17"/>
      <c r="C19" s="16"/>
      <c r="D19" s="124"/>
      <c r="E19" s="124"/>
      <c r="F19" s="124"/>
      <c r="G19" s="124"/>
      <c r="H19" s="124"/>
      <c r="I19" s="124"/>
      <c r="J19" s="124"/>
      <c r="K19" s="124"/>
      <c r="L19" s="124"/>
      <c r="M19" s="494"/>
    </row>
    <row r="20" spans="2:13" ht="12">
      <c r="B20" s="143">
        <v>700</v>
      </c>
      <c r="C20" s="21" t="s">
        <v>443</v>
      </c>
      <c r="D20" s="125">
        <f>SUM(D97)</f>
        <v>17573000</v>
      </c>
      <c r="E20" s="125">
        <f>SUM(E97)</f>
        <v>3953000</v>
      </c>
      <c r="F20" s="125">
        <f aca="true" t="shared" si="4" ref="F20:L20">SUM(F97)</f>
        <v>70000</v>
      </c>
      <c r="G20" s="125">
        <f t="shared" si="4"/>
        <v>1183000</v>
      </c>
      <c r="H20" s="125">
        <f t="shared" si="4"/>
        <v>2700000</v>
      </c>
      <c r="I20" s="125">
        <f t="shared" si="4"/>
        <v>0</v>
      </c>
      <c r="J20" s="125">
        <f t="shared" si="4"/>
        <v>0</v>
      </c>
      <c r="K20" s="125">
        <f t="shared" si="4"/>
        <v>0</v>
      </c>
      <c r="L20" s="125">
        <f t="shared" si="4"/>
        <v>0</v>
      </c>
      <c r="M20" s="495">
        <f>SUM(M97)</f>
        <v>13620000</v>
      </c>
    </row>
    <row r="21" spans="2:13" ht="12">
      <c r="B21" s="17"/>
      <c r="C21" s="16"/>
      <c r="D21" s="124"/>
      <c r="E21" s="124"/>
      <c r="F21" s="124"/>
      <c r="G21" s="124"/>
      <c r="H21" s="124"/>
      <c r="I21" s="124"/>
      <c r="J21" s="124"/>
      <c r="K21" s="124"/>
      <c r="L21" s="124"/>
      <c r="M21" s="494"/>
    </row>
    <row r="22" spans="2:13" ht="12">
      <c r="B22" s="143">
        <v>710</v>
      </c>
      <c r="C22" s="21" t="s">
        <v>444</v>
      </c>
      <c r="D22" s="125">
        <f>SUM(D103)</f>
        <v>1731344</v>
      </c>
      <c r="E22" s="125">
        <f>SUM(E103)</f>
        <v>731344</v>
      </c>
      <c r="F22" s="125">
        <f aca="true" t="shared" si="5" ref="F22:L22">SUM(F103)</f>
        <v>19600</v>
      </c>
      <c r="G22" s="125">
        <f t="shared" si="5"/>
        <v>706744</v>
      </c>
      <c r="H22" s="125">
        <f t="shared" si="5"/>
        <v>0</v>
      </c>
      <c r="I22" s="125">
        <f t="shared" si="5"/>
        <v>5000</v>
      </c>
      <c r="J22" s="125">
        <f t="shared" si="5"/>
        <v>0</v>
      </c>
      <c r="K22" s="125">
        <f t="shared" si="5"/>
        <v>0</v>
      </c>
      <c r="L22" s="125">
        <f t="shared" si="5"/>
        <v>0</v>
      </c>
      <c r="M22" s="495">
        <f>SUM(M103)</f>
        <v>1000000</v>
      </c>
    </row>
    <row r="23" spans="2:13" ht="12">
      <c r="B23" s="17"/>
      <c r="C23" s="16"/>
      <c r="D23" s="124"/>
      <c r="E23" s="124"/>
      <c r="F23" s="124"/>
      <c r="G23" s="124"/>
      <c r="H23" s="124"/>
      <c r="I23" s="124"/>
      <c r="J23" s="124"/>
      <c r="K23" s="124"/>
      <c r="L23" s="124"/>
      <c r="M23" s="494"/>
    </row>
    <row r="24" spans="2:13" ht="12">
      <c r="B24" s="143">
        <v>750</v>
      </c>
      <c r="C24" s="21" t="s">
        <v>446</v>
      </c>
      <c r="D24" s="125">
        <f aca="true" t="shared" si="6" ref="D24:L24">SUM(D110+D231)</f>
        <v>13683757</v>
      </c>
      <c r="E24" s="125">
        <f t="shared" si="6"/>
        <v>12216406</v>
      </c>
      <c r="F24" s="125">
        <f t="shared" si="6"/>
        <v>8959940</v>
      </c>
      <c r="G24" s="125">
        <f t="shared" si="6"/>
        <v>2697728</v>
      </c>
      <c r="H24" s="125">
        <f t="shared" si="6"/>
        <v>0</v>
      </c>
      <c r="I24" s="125">
        <f t="shared" si="6"/>
        <v>449658</v>
      </c>
      <c r="J24" s="125">
        <f t="shared" si="6"/>
        <v>109080</v>
      </c>
      <c r="K24" s="125">
        <f t="shared" si="6"/>
        <v>0</v>
      </c>
      <c r="L24" s="125">
        <f t="shared" si="6"/>
        <v>0</v>
      </c>
      <c r="M24" s="495">
        <f>(M110+M231)</f>
        <v>1467351</v>
      </c>
    </row>
    <row r="25" spans="2:13" ht="12">
      <c r="B25" s="17"/>
      <c r="C25" s="16"/>
      <c r="D25" s="124"/>
      <c r="E25" s="124"/>
      <c r="F25" s="124"/>
      <c r="G25" s="124"/>
      <c r="H25" s="124"/>
      <c r="I25" s="124"/>
      <c r="J25" s="124"/>
      <c r="K25" s="124"/>
      <c r="L25" s="124"/>
      <c r="M25" s="494"/>
    </row>
    <row r="26" spans="2:13" ht="12">
      <c r="B26" s="17">
        <v>751</v>
      </c>
      <c r="C26" s="16" t="s">
        <v>84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494"/>
    </row>
    <row r="27" spans="2:13" ht="12">
      <c r="B27" s="17"/>
      <c r="C27" s="16" t="s">
        <v>85</v>
      </c>
      <c r="D27" s="124"/>
      <c r="E27" s="124"/>
      <c r="F27" s="124"/>
      <c r="G27" s="124"/>
      <c r="H27" s="124"/>
      <c r="I27" s="124"/>
      <c r="J27" s="124"/>
      <c r="K27" s="124"/>
      <c r="L27" s="124"/>
      <c r="M27" s="494"/>
    </row>
    <row r="28" spans="2:13" ht="12">
      <c r="B28" s="143"/>
      <c r="C28" s="21" t="s">
        <v>86</v>
      </c>
      <c r="D28" s="125">
        <f>SUM(D237)</f>
        <v>6780</v>
      </c>
      <c r="E28" s="125">
        <f>SUM(E237)</f>
        <v>6780</v>
      </c>
      <c r="F28" s="125">
        <f aca="true" t="shared" si="7" ref="F28:L28">SUM(F237)</f>
        <v>6240</v>
      </c>
      <c r="G28" s="125">
        <f t="shared" si="7"/>
        <v>540</v>
      </c>
      <c r="H28" s="125">
        <f t="shared" si="7"/>
        <v>0</v>
      </c>
      <c r="I28" s="125">
        <f t="shared" si="7"/>
        <v>0</v>
      </c>
      <c r="J28" s="125">
        <f t="shared" si="7"/>
        <v>0</v>
      </c>
      <c r="K28" s="125">
        <f t="shared" si="7"/>
        <v>0</v>
      </c>
      <c r="L28" s="125">
        <f t="shared" si="7"/>
        <v>0</v>
      </c>
      <c r="M28" s="495">
        <f>SUM(M237)</f>
        <v>0</v>
      </c>
    </row>
    <row r="29" spans="2:13" ht="12">
      <c r="B29" s="17"/>
      <c r="C29" s="16"/>
      <c r="D29" s="124"/>
      <c r="E29" s="124"/>
      <c r="F29" s="124"/>
      <c r="G29" s="124"/>
      <c r="H29" s="124"/>
      <c r="I29" s="124"/>
      <c r="J29" s="124"/>
      <c r="K29" s="124"/>
      <c r="L29" s="124"/>
      <c r="M29" s="494"/>
    </row>
    <row r="30" spans="2:13" ht="12">
      <c r="B30" s="17">
        <v>754</v>
      </c>
      <c r="C30" s="16" t="s">
        <v>468</v>
      </c>
      <c r="D30" s="124"/>
      <c r="E30" s="124"/>
      <c r="F30" s="124"/>
      <c r="G30" s="124"/>
      <c r="H30" s="124"/>
      <c r="I30" s="124"/>
      <c r="J30" s="124"/>
      <c r="K30" s="124"/>
      <c r="L30" s="124"/>
      <c r="M30" s="494"/>
    </row>
    <row r="31" spans="2:13" ht="12">
      <c r="B31" s="143"/>
      <c r="C31" s="21" t="s">
        <v>469</v>
      </c>
      <c r="D31" s="125">
        <f>SUM(D120)</f>
        <v>4386400</v>
      </c>
      <c r="E31" s="125">
        <f>SUM(E120)</f>
        <v>1341400</v>
      </c>
      <c r="F31" s="125">
        <f aca="true" t="shared" si="8" ref="F31:L31">SUM(F120)</f>
        <v>762900</v>
      </c>
      <c r="G31" s="125">
        <f t="shared" si="8"/>
        <v>458600</v>
      </c>
      <c r="H31" s="125">
        <f t="shared" si="8"/>
        <v>65000</v>
      </c>
      <c r="I31" s="125">
        <f t="shared" si="8"/>
        <v>54900</v>
      </c>
      <c r="J31" s="125">
        <f t="shared" si="8"/>
        <v>0</v>
      </c>
      <c r="K31" s="125">
        <f t="shared" si="8"/>
        <v>0</v>
      </c>
      <c r="L31" s="125">
        <f t="shared" si="8"/>
        <v>0</v>
      </c>
      <c r="M31" s="495">
        <f>SUM(M120)</f>
        <v>3045000</v>
      </c>
    </row>
    <row r="32" spans="2:13" ht="12">
      <c r="B32" s="17"/>
      <c r="C32" s="16"/>
      <c r="D32" s="124"/>
      <c r="E32" s="124"/>
      <c r="F32" s="124"/>
      <c r="G32" s="124"/>
      <c r="H32" s="124"/>
      <c r="I32" s="124"/>
      <c r="J32" s="124"/>
      <c r="K32" s="124"/>
      <c r="L32" s="124"/>
      <c r="M32" s="494"/>
    </row>
    <row r="33" spans="2:13" ht="12">
      <c r="B33" s="17">
        <v>756</v>
      </c>
      <c r="C33" s="16" t="s">
        <v>303</v>
      </c>
      <c r="D33" s="124"/>
      <c r="E33" s="124"/>
      <c r="F33" s="124"/>
      <c r="G33" s="124"/>
      <c r="H33" s="124"/>
      <c r="I33" s="124"/>
      <c r="J33" s="124"/>
      <c r="K33" s="124"/>
      <c r="L33" s="124"/>
      <c r="M33" s="494"/>
    </row>
    <row r="34" spans="2:13" ht="12">
      <c r="B34" s="17"/>
      <c r="C34" s="16" t="s">
        <v>304</v>
      </c>
      <c r="D34" s="124"/>
      <c r="E34" s="124"/>
      <c r="F34" s="124"/>
      <c r="G34" s="124"/>
      <c r="H34" s="124"/>
      <c r="I34" s="124"/>
      <c r="J34" s="124"/>
      <c r="K34" s="124"/>
      <c r="L34" s="124"/>
      <c r="M34" s="494"/>
    </row>
    <row r="35" spans="2:13" ht="12">
      <c r="B35" s="17"/>
      <c r="C35" s="16" t="s">
        <v>301</v>
      </c>
      <c r="D35" s="124"/>
      <c r="E35" s="124"/>
      <c r="F35" s="124"/>
      <c r="G35" s="124"/>
      <c r="H35" s="124"/>
      <c r="I35" s="124"/>
      <c r="J35" s="124"/>
      <c r="K35" s="124"/>
      <c r="L35" s="124"/>
      <c r="M35" s="494"/>
    </row>
    <row r="36" spans="2:13" ht="12">
      <c r="B36" s="143"/>
      <c r="C36" s="21" t="s">
        <v>300</v>
      </c>
      <c r="D36" s="125">
        <f>SUM(D130)</f>
        <v>145800</v>
      </c>
      <c r="E36" s="125">
        <f>SUM(E130)</f>
        <v>145800</v>
      </c>
      <c r="F36" s="125">
        <f aca="true" t="shared" si="9" ref="F36:L36">SUM(F130)</f>
        <v>45000</v>
      </c>
      <c r="G36" s="125">
        <f t="shared" si="9"/>
        <v>100800</v>
      </c>
      <c r="H36" s="125">
        <f t="shared" si="9"/>
        <v>0</v>
      </c>
      <c r="I36" s="125">
        <f t="shared" si="9"/>
        <v>0</v>
      </c>
      <c r="J36" s="125">
        <f t="shared" si="9"/>
        <v>0</v>
      </c>
      <c r="K36" s="125">
        <f t="shared" si="9"/>
        <v>0</v>
      </c>
      <c r="L36" s="125">
        <f t="shared" si="9"/>
        <v>0</v>
      </c>
      <c r="M36" s="495">
        <f>SUM(M130)</f>
        <v>0</v>
      </c>
    </row>
    <row r="37" spans="1:14" s="29" customFormat="1" ht="12">
      <c r="A37" s="10"/>
      <c r="B37" s="17"/>
      <c r="C37" s="16"/>
      <c r="D37" s="124"/>
      <c r="E37" s="124"/>
      <c r="F37" s="124"/>
      <c r="G37" s="124"/>
      <c r="H37" s="124"/>
      <c r="I37" s="124"/>
      <c r="J37" s="124"/>
      <c r="K37" s="124"/>
      <c r="L37" s="124"/>
      <c r="M37" s="494"/>
      <c r="N37" s="10"/>
    </row>
    <row r="38" spans="2:13" ht="12">
      <c r="B38" s="143">
        <v>757</v>
      </c>
      <c r="C38" s="21" t="s">
        <v>87</v>
      </c>
      <c r="D38" s="125">
        <f>SUM(D135)</f>
        <v>2065000</v>
      </c>
      <c r="E38" s="125">
        <f>SUM(E135)</f>
        <v>2065000</v>
      </c>
      <c r="F38" s="125">
        <f aca="true" t="shared" si="10" ref="F38:L38">SUM(F135)</f>
        <v>0</v>
      </c>
      <c r="G38" s="125">
        <f t="shared" si="10"/>
        <v>0</v>
      </c>
      <c r="H38" s="125">
        <f t="shared" si="10"/>
        <v>0</v>
      </c>
      <c r="I38" s="125">
        <f t="shared" si="10"/>
        <v>0</v>
      </c>
      <c r="J38" s="125">
        <f t="shared" si="10"/>
        <v>0</v>
      </c>
      <c r="K38" s="125">
        <f t="shared" si="10"/>
        <v>2065000</v>
      </c>
      <c r="L38" s="125">
        <f t="shared" si="10"/>
        <v>0</v>
      </c>
      <c r="M38" s="495">
        <f>SUM(M135)</f>
        <v>0</v>
      </c>
    </row>
    <row r="39" spans="2:13" ht="12">
      <c r="B39" s="17"/>
      <c r="C39" s="16"/>
      <c r="D39" s="124"/>
      <c r="E39" s="124"/>
      <c r="F39" s="124"/>
      <c r="G39" s="124"/>
      <c r="H39" s="124"/>
      <c r="I39" s="124"/>
      <c r="J39" s="124"/>
      <c r="K39" s="124"/>
      <c r="L39" s="124"/>
      <c r="M39" s="494"/>
    </row>
    <row r="40" spans="2:13" ht="12.75" thickBot="1">
      <c r="B40" s="18">
        <v>758</v>
      </c>
      <c r="C40" s="22" t="s">
        <v>450</v>
      </c>
      <c r="D40" s="135">
        <f>(D140)</f>
        <v>603770</v>
      </c>
      <c r="E40" s="135">
        <f>(E140)</f>
        <v>553770</v>
      </c>
      <c r="F40" s="135">
        <f aca="true" t="shared" si="11" ref="F40:L40">(F140)</f>
        <v>0</v>
      </c>
      <c r="G40" s="135">
        <f t="shared" si="11"/>
        <v>553770</v>
      </c>
      <c r="H40" s="135">
        <f t="shared" si="11"/>
        <v>0</v>
      </c>
      <c r="I40" s="135">
        <f t="shared" si="11"/>
        <v>0</v>
      </c>
      <c r="J40" s="135">
        <f t="shared" si="11"/>
        <v>0</v>
      </c>
      <c r="K40" s="135">
        <f t="shared" si="11"/>
        <v>0</v>
      </c>
      <c r="L40" s="135">
        <f t="shared" si="11"/>
        <v>0</v>
      </c>
      <c r="M40" s="522">
        <f>(M140)</f>
        <v>50000</v>
      </c>
    </row>
    <row r="41" spans="1:14" ht="12">
      <c r="A41" s="29"/>
      <c r="B41" s="441">
        <v>1</v>
      </c>
      <c r="C41" s="446">
        <v>2</v>
      </c>
      <c r="D41" s="447">
        <v>3</v>
      </c>
      <c r="E41" s="447">
        <v>4</v>
      </c>
      <c r="F41" s="447">
        <v>5</v>
      </c>
      <c r="G41" s="447">
        <v>6</v>
      </c>
      <c r="H41" s="447">
        <v>7</v>
      </c>
      <c r="I41" s="447">
        <v>8</v>
      </c>
      <c r="J41" s="447">
        <v>9</v>
      </c>
      <c r="K41" s="447">
        <v>10</v>
      </c>
      <c r="L41" s="447">
        <v>11</v>
      </c>
      <c r="M41" s="524">
        <v>12</v>
      </c>
      <c r="N41" s="29"/>
    </row>
    <row r="42" spans="2:13" ht="12">
      <c r="B42" s="17"/>
      <c r="C42" s="16"/>
      <c r="D42" s="124"/>
      <c r="E42" s="124"/>
      <c r="F42" s="124"/>
      <c r="G42" s="124"/>
      <c r="H42" s="124"/>
      <c r="I42" s="124"/>
      <c r="J42" s="124"/>
      <c r="K42" s="124"/>
      <c r="L42" s="124"/>
      <c r="M42" s="494"/>
    </row>
    <row r="43" spans="2:13" ht="12">
      <c r="B43" s="143">
        <v>801</v>
      </c>
      <c r="C43" s="21" t="s">
        <v>451</v>
      </c>
      <c r="D43" s="125">
        <f>SUM(D144)</f>
        <v>37028472</v>
      </c>
      <c r="E43" s="125">
        <f>SUM(E144)</f>
        <v>35759272</v>
      </c>
      <c r="F43" s="125">
        <f aca="true" t="shared" si="12" ref="F43:K43">SUM(F144)</f>
        <v>98900</v>
      </c>
      <c r="G43" s="125">
        <f t="shared" si="12"/>
        <v>585600</v>
      </c>
      <c r="H43" s="125">
        <f t="shared" si="12"/>
        <v>34899841</v>
      </c>
      <c r="I43" s="125">
        <f t="shared" si="12"/>
        <v>35900</v>
      </c>
      <c r="J43" s="125">
        <f t="shared" si="12"/>
        <v>139031</v>
      </c>
      <c r="K43" s="125">
        <f t="shared" si="12"/>
        <v>0</v>
      </c>
      <c r="L43" s="125">
        <f>SUM(L144)</f>
        <v>0</v>
      </c>
      <c r="M43" s="495">
        <f>SUM(M144)</f>
        <v>1269200</v>
      </c>
    </row>
    <row r="44" spans="2:13" ht="12">
      <c r="B44" s="17"/>
      <c r="C44" s="16"/>
      <c r="D44" s="124"/>
      <c r="E44" s="124"/>
      <c r="F44" s="124"/>
      <c r="G44" s="124"/>
      <c r="H44" s="124"/>
      <c r="I44" s="124"/>
      <c r="J44" s="124"/>
      <c r="K44" s="124"/>
      <c r="L44" s="124"/>
      <c r="M44" s="494"/>
    </row>
    <row r="45" spans="2:13" ht="12">
      <c r="B45" s="143">
        <v>851</v>
      </c>
      <c r="C45" s="21" t="s">
        <v>452</v>
      </c>
      <c r="D45" s="125">
        <f aca="true" t="shared" si="13" ref="D45:M45">SUM(D156+D242)</f>
        <v>1616269</v>
      </c>
      <c r="E45" s="125">
        <f t="shared" si="13"/>
        <v>1616269</v>
      </c>
      <c r="F45" s="125">
        <f t="shared" si="13"/>
        <v>369600</v>
      </c>
      <c r="G45" s="125">
        <f t="shared" si="13"/>
        <v>1093019</v>
      </c>
      <c r="H45" s="125">
        <f t="shared" si="13"/>
        <v>153650</v>
      </c>
      <c r="I45" s="125">
        <f t="shared" si="13"/>
        <v>0</v>
      </c>
      <c r="J45" s="125">
        <f t="shared" si="13"/>
        <v>0</v>
      </c>
      <c r="K45" s="125">
        <f t="shared" si="13"/>
        <v>0</v>
      </c>
      <c r="L45" s="125">
        <f t="shared" si="13"/>
        <v>0</v>
      </c>
      <c r="M45" s="495">
        <f t="shared" si="13"/>
        <v>0</v>
      </c>
    </row>
    <row r="46" spans="2:13" ht="12">
      <c r="B46" s="17"/>
      <c r="C46" s="16"/>
      <c r="D46" s="124"/>
      <c r="E46" s="124"/>
      <c r="F46" s="124"/>
      <c r="G46" s="124"/>
      <c r="H46" s="124"/>
      <c r="I46" s="124"/>
      <c r="J46" s="124"/>
      <c r="K46" s="124"/>
      <c r="L46" s="124"/>
      <c r="M46" s="494"/>
    </row>
    <row r="47" spans="2:13" ht="12">
      <c r="B47" s="143">
        <v>852</v>
      </c>
      <c r="C47" s="21" t="s">
        <v>102</v>
      </c>
      <c r="D47" s="125">
        <f aca="true" t="shared" si="14" ref="D47:M47">SUM(D164+D246)</f>
        <v>16718060</v>
      </c>
      <c r="E47" s="125">
        <f t="shared" si="14"/>
        <v>16718060</v>
      </c>
      <c r="F47" s="125">
        <f t="shared" si="14"/>
        <v>3398990</v>
      </c>
      <c r="G47" s="125">
        <f t="shared" si="14"/>
        <v>1523000</v>
      </c>
      <c r="H47" s="125">
        <f t="shared" si="14"/>
        <v>227000</v>
      </c>
      <c r="I47" s="125">
        <f t="shared" si="14"/>
        <v>11569070</v>
      </c>
      <c r="J47" s="125">
        <f t="shared" si="14"/>
        <v>0</v>
      </c>
      <c r="K47" s="125">
        <f t="shared" si="14"/>
        <v>0</v>
      </c>
      <c r="L47" s="125">
        <f t="shared" si="14"/>
        <v>0</v>
      </c>
      <c r="M47" s="495">
        <f t="shared" si="14"/>
        <v>0</v>
      </c>
    </row>
    <row r="48" spans="2:13" ht="12">
      <c r="B48" s="14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526"/>
    </row>
    <row r="49" spans="2:13" ht="12">
      <c r="B49" s="17">
        <v>853</v>
      </c>
      <c r="C49" s="16" t="s">
        <v>299</v>
      </c>
      <c r="D49" s="16"/>
      <c r="E49" s="16"/>
      <c r="F49" s="16"/>
      <c r="G49" s="16"/>
      <c r="H49" s="16"/>
      <c r="I49" s="16"/>
      <c r="J49" s="16"/>
      <c r="K49" s="16"/>
      <c r="L49" s="54"/>
      <c r="M49" s="527"/>
    </row>
    <row r="50" spans="2:13" ht="12">
      <c r="B50" s="143"/>
      <c r="C50" s="21" t="s">
        <v>298</v>
      </c>
      <c r="D50" s="125">
        <f aca="true" t="shared" si="15" ref="D50:M50">SUM(D181+D277+D312)</f>
        <v>2853546</v>
      </c>
      <c r="E50" s="125">
        <f t="shared" si="15"/>
        <v>2853546</v>
      </c>
      <c r="F50" s="125">
        <f t="shared" si="15"/>
        <v>2910</v>
      </c>
      <c r="G50" s="125">
        <f t="shared" si="15"/>
        <v>41190</v>
      </c>
      <c r="H50" s="125">
        <f t="shared" si="15"/>
        <v>1708806</v>
      </c>
      <c r="I50" s="125">
        <f t="shared" si="15"/>
        <v>0</v>
      </c>
      <c r="J50" s="125">
        <f t="shared" si="15"/>
        <v>1100640</v>
      </c>
      <c r="K50" s="125">
        <f t="shared" si="15"/>
        <v>0</v>
      </c>
      <c r="L50" s="125">
        <f t="shared" si="15"/>
        <v>0</v>
      </c>
      <c r="M50" s="495">
        <f t="shared" si="15"/>
        <v>0</v>
      </c>
    </row>
    <row r="51" spans="2:13" ht="12">
      <c r="B51" s="146"/>
      <c r="C51" s="140"/>
      <c r="D51" s="147"/>
      <c r="E51" s="147"/>
      <c r="F51" s="147"/>
      <c r="G51" s="147"/>
      <c r="H51" s="147"/>
      <c r="I51" s="147"/>
      <c r="J51" s="147"/>
      <c r="K51" s="147"/>
      <c r="L51" s="147"/>
      <c r="M51" s="528"/>
    </row>
    <row r="52" spans="2:13" ht="12">
      <c r="B52" s="143">
        <v>854</v>
      </c>
      <c r="C52" s="21" t="s">
        <v>453</v>
      </c>
      <c r="D52" s="125">
        <f>SUM(D187)</f>
        <v>258200</v>
      </c>
      <c r="E52" s="125">
        <f>SUM(E187)</f>
        <v>258200</v>
      </c>
      <c r="F52" s="125">
        <f aca="true" t="shared" si="16" ref="F52:K52">SUM(F187)</f>
        <v>0</v>
      </c>
      <c r="G52" s="125">
        <f t="shared" si="16"/>
        <v>0</v>
      </c>
      <c r="H52" s="125">
        <f t="shared" si="16"/>
        <v>258200</v>
      </c>
      <c r="I52" s="125">
        <f t="shared" si="16"/>
        <v>0</v>
      </c>
      <c r="J52" s="125">
        <f t="shared" si="16"/>
        <v>0</v>
      </c>
      <c r="K52" s="125">
        <f t="shared" si="16"/>
        <v>0</v>
      </c>
      <c r="L52" s="125">
        <f>SUM(L187)</f>
        <v>0</v>
      </c>
      <c r="M52" s="495">
        <f>SUM(M187)</f>
        <v>0</v>
      </c>
    </row>
    <row r="53" spans="2:13" ht="12">
      <c r="B53" s="17"/>
      <c r="C53" s="16"/>
      <c r="D53" s="124"/>
      <c r="E53" s="124"/>
      <c r="F53" s="124"/>
      <c r="G53" s="124"/>
      <c r="H53" s="124"/>
      <c r="I53" s="124"/>
      <c r="J53" s="124"/>
      <c r="K53" s="124"/>
      <c r="L53" s="124"/>
      <c r="M53" s="494"/>
    </row>
    <row r="54" spans="2:13" ht="12">
      <c r="B54" s="17">
        <v>900</v>
      </c>
      <c r="C54" s="16" t="s">
        <v>454</v>
      </c>
      <c r="D54" s="124"/>
      <c r="E54" s="124"/>
      <c r="F54" s="124"/>
      <c r="G54" s="124"/>
      <c r="H54" s="124"/>
      <c r="I54" s="124"/>
      <c r="J54" s="124"/>
      <c r="K54" s="124"/>
      <c r="L54" s="124"/>
      <c r="M54" s="494"/>
    </row>
    <row r="55" spans="2:13" ht="12">
      <c r="B55" s="143"/>
      <c r="C55" s="21" t="s">
        <v>305</v>
      </c>
      <c r="D55" s="125">
        <f>SUM(D194)</f>
        <v>16226680</v>
      </c>
      <c r="E55" s="125">
        <f>SUM(E194)</f>
        <v>6126195</v>
      </c>
      <c r="F55" s="125">
        <f aca="true" t="shared" si="17" ref="F55:K55">SUM(F194)</f>
        <v>208000</v>
      </c>
      <c r="G55" s="125">
        <f t="shared" si="17"/>
        <v>5718195</v>
      </c>
      <c r="H55" s="125">
        <f t="shared" si="17"/>
        <v>200000</v>
      </c>
      <c r="I55" s="125">
        <f t="shared" si="17"/>
        <v>0</v>
      </c>
      <c r="J55" s="125">
        <f t="shared" si="17"/>
        <v>0</v>
      </c>
      <c r="K55" s="125">
        <f t="shared" si="17"/>
        <v>0</v>
      </c>
      <c r="L55" s="125">
        <f>SUM(L194)</f>
        <v>0</v>
      </c>
      <c r="M55" s="495">
        <f>SUM(M194)</f>
        <v>10100485</v>
      </c>
    </row>
    <row r="56" spans="2:13" ht="12">
      <c r="B56" s="17"/>
      <c r="C56" s="16"/>
      <c r="D56" s="124"/>
      <c r="E56" s="124"/>
      <c r="F56" s="124"/>
      <c r="G56" s="124"/>
      <c r="H56" s="124"/>
      <c r="I56" s="124"/>
      <c r="J56" s="124"/>
      <c r="K56" s="124"/>
      <c r="L56" s="124"/>
      <c r="M56" s="494"/>
    </row>
    <row r="57" spans="2:13" ht="12">
      <c r="B57" s="17">
        <v>921</v>
      </c>
      <c r="C57" s="16" t="s">
        <v>455</v>
      </c>
      <c r="D57" s="124"/>
      <c r="E57" s="124"/>
      <c r="F57" s="124"/>
      <c r="G57" s="124"/>
      <c r="H57" s="124"/>
      <c r="I57" s="124"/>
      <c r="J57" s="124"/>
      <c r="K57" s="124"/>
      <c r="L57" s="124"/>
      <c r="M57" s="494"/>
    </row>
    <row r="58" spans="1:14" s="35" customFormat="1" ht="12.75">
      <c r="A58" s="10"/>
      <c r="B58" s="143"/>
      <c r="C58" s="21" t="s">
        <v>456</v>
      </c>
      <c r="D58" s="125">
        <f>SUM(D205)</f>
        <v>5578370</v>
      </c>
      <c r="E58" s="125">
        <f>SUM(E205)</f>
        <v>3778370</v>
      </c>
      <c r="F58" s="125">
        <f aca="true" t="shared" si="18" ref="F58:K58">SUM(F205)</f>
        <v>73570</v>
      </c>
      <c r="G58" s="125">
        <f t="shared" si="18"/>
        <v>607800</v>
      </c>
      <c r="H58" s="125">
        <f t="shared" si="18"/>
        <v>3071800</v>
      </c>
      <c r="I58" s="125">
        <f t="shared" si="18"/>
        <v>25200</v>
      </c>
      <c r="J58" s="125">
        <f t="shared" si="18"/>
        <v>0</v>
      </c>
      <c r="K58" s="125">
        <f t="shared" si="18"/>
        <v>0</v>
      </c>
      <c r="L58" s="125">
        <f>SUM(L205)</f>
        <v>0</v>
      </c>
      <c r="M58" s="495">
        <f>SUM(M205)</f>
        <v>1800000</v>
      </c>
      <c r="N58" s="10"/>
    </row>
    <row r="59" spans="2:13" ht="12">
      <c r="B59" s="17"/>
      <c r="C59" s="40"/>
      <c r="D59" s="124"/>
      <c r="E59" s="124"/>
      <c r="F59" s="124"/>
      <c r="G59" s="124"/>
      <c r="H59" s="124"/>
      <c r="I59" s="124"/>
      <c r="J59" s="124"/>
      <c r="K59" s="124"/>
      <c r="L59" s="124"/>
      <c r="M59" s="494"/>
    </row>
    <row r="60" spans="2:13" ht="12">
      <c r="B60" s="143">
        <v>926</v>
      </c>
      <c r="C60" s="41" t="s">
        <v>88</v>
      </c>
      <c r="D60" s="125">
        <f>SUM(D212)</f>
        <v>4889900</v>
      </c>
      <c r="E60" s="125">
        <f>SUM(E212)</f>
        <v>3389900</v>
      </c>
      <c r="F60" s="125">
        <f aca="true" t="shared" si="19" ref="F60:K60">SUM(F212)</f>
        <v>1144800</v>
      </c>
      <c r="G60" s="125">
        <f t="shared" si="19"/>
        <v>1032000</v>
      </c>
      <c r="H60" s="125">
        <f t="shared" si="19"/>
        <v>1127500</v>
      </c>
      <c r="I60" s="125">
        <f t="shared" si="19"/>
        <v>85600</v>
      </c>
      <c r="J60" s="125">
        <f t="shared" si="19"/>
        <v>0</v>
      </c>
      <c r="K60" s="125">
        <f t="shared" si="19"/>
        <v>0</v>
      </c>
      <c r="L60" s="125">
        <f>(L212)</f>
        <v>0</v>
      </c>
      <c r="M60" s="495">
        <f>SUM(M212)</f>
        <v>1500000</v>
      </c>
    </row>
    <row r="61" spans="2:13" ht="12">
      <c r="B61" s="146"/>
      <c r="C61" s="140"/>
      <c r="D61" s="147"/>
      <c r="E61" s="147"/>
      <c r="F61" s="147"/>
      <c r="G61" s="147"/>
      <c r="H61" s="147"/>
      <c r="I61" s="147"/>
      <c r="J61" s="147"/>
      <c r="K61" s="147"/>
      <c r="L61" s="147"/>
      <c r="M61" s="528"/>
    </row>
    <row r="62" spans="1:14" s="90" customFormat="1" ht="18.75" thickBot="1">
      <c r="A62" s="35"/>
      <c r="B62" s="34"/>
      <c r="C62" s="149" t="s">
        <v>89</v>
      </c>
      <c r="D62" s="150">
        <f>SUM(D11:D40,D43:D60)</f>
        <v>142537971</v>
      </c>
      <c r="E62" s="150">
        <f>SUM(E11:E40,E43:E60)</f>
        <v>99117528</v>
      </c>
      <c r="F62" s="150">
        <f aca="true" t="shared" si="20" ref="F62:K62">SUM(F11:F40,F43:F60)</f>
        <v>15160450</v>
      </c>
      <c r="G62" s="150">
        <f t="shared" si="20"/>
        <v>23890502</v>
      </c>
      <c r="H62" s="150">
        <f t="shared" si="20"/>
        <v>44427497</v>
      </c>
      <c r="I62" s="150">
        <f t="shared" si="20"/>
        <v>12225328</v>
      </c>
      <c r="J62" s="150">
        <f t="shared" si="20"/>
        <v>1348751</v>
      </c>
      <c r="K62" s="150">
        <f t="shared" si="20"/>
        <v>2065000</v>
      </c>
      <c r="L62" s="150">
        <f>SUM(L11:L40,L43:L60)</f>
        <v>0</v>
      </c>
      <c r="M62" s="529">
        <f>SUM(M11:M40,M43:M60)</f>
        <v>43420443</v>
      </c>
      <c r="N62" s="701" t="s">
        <v>295</v>
      </c>
    </row>
    <row r="63" spans="1:14" s="91" customFormat="1" ht="12">
      <c r="A63" s="1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0"/>
    </row>
    <row r="64" spans="1:14" s="91" customFormat="1" ht="15" customHeight="1">
      <c r="A64" s="10"/>
      <c r="B64" s="148"/>
      <c r="C64" s="70"/>
      <c r="D64" s="6"/>
      <c r="E64" s="697"/>
      <c r="F64" s="697"/>
      <c r="G64" s="697"/>
      <c r="H64" s="698"/>
      <c r="I64" s="698"/>
      <c r="J64" s="697"/>
      <c r="K64" s="6"/>
      <c r="L64" s="6"/>
      <c r="M64" s="6"/>
      <c r="N64" s="10"/>
    </row>
    <row r="65" spans="1:14" s="91" customFormat="1" ht="15" customHeight="1">
      <c r="A65" s="10"/>
      <c r="B65" s="148"/>
      <c r="C65" s="70"/>
      <c r="D65" s="6"/>
      <c r="E65" s="6"/>
      <c r="F65" s="6"/>
      <c r="G65" s="6"/>
      <c r="H65" s="698"/>
      <c r="I65" s="698"/>
      <c r="J65" s="729"/>
      <c r="K65" s="6"/>
      <c r="L65" s="6"/>
      <c r="M65" s="6"/>
      <c r="N65" s="10"/>
    </row>
    <row r="66" spans="1:14" ht="15.75" customHeight="1">
      <c r="A66" s="1381" t="s">
        <v>49</v>
      </c>
      <c r="B66" s="1381"/>
      <c r="C66" s="1381"/>
      <c r="D66" s="1381"/>
      <c r="E66" s="1381"/>
      <c r="F66" s="1381"/>
      <c r="G66" s="1381"/>
      <c r="H66" s="1381"/>
      <c r="I66" s="1381"/>
      <c r="J66" s="1381"/>
      <c r="K66" s="1381"/>
      <c r="L66" s="1381"/>
      <c r="M66" s="1381"/>
      <c r="N66" s="407"/>
    </row>
    <row r="67" spans="1:14" ht="12.75" customHeight="1">
      <c r="A67" s="1351" t="s">
        <v>428</v>
      </c>
      <c r="B67" s="1351"/>
      <c r="C67" s="1351"/>
      <c r="D67" s="1351"/>
      <c r="E67" s="1351"/>
      <c r="F67" s="1351"/>
      <c r="G67" s="1351"/>
      <c r="H67" s="1351"/>
      <c r="I67" s="1351"/>
      <c r="J67" s="1351"/>
      <c r="K67" s="1351"/>
      <c r="L67" s="1351"/>
      <c r="M67" s="1351"/>
      <c r="N67" s="405"/>
    </row>
    <row r="68" spans="1:14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382" t="s">
        <v>116</v>
      </c>
      <c r="N68" s="58"/>
    </row>
    <row r="69" spans="1:13" ht="12.75" thickBo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383"/>
    </row>
    <row r="70" spans="1:14" ht="12">
      <c r="A70" s="1374" t="s">
        <v>440</v>
      </c>
      <c r="B70" s="1354" t="s">
        <v>458</v>
      </c>
      <c r="C70" s="1358" t="s">
        <v>459</v>
      </c>
      <c r="D70" s="1354" t="s">
        <v>421</v>
      </c>
      <c r="E70" s="1366" t="s">
        <v>78</v>
      </c>
      <c r="F70" s="1367"/>
      <c r="G70" s="1367"/>
      <c r="H70" s="1367"/>
      <c r="I70" s="1367"/>
      <c r="J70" s="1367"/>
      <c r="K70" s="1367"/>
      <c r="L70" s="1367"/>
      <c r="M70" s="1368"/>
      <c r="N70" s="92"/>
    </row>
    <row r="71" spans="1:14" ht="12" customHeight="1">
      <c r="A71" s="1375"/>
      <c r="B71" s="1355"/>
      <c r="C71" s="1359"/>
      <c r="D71" s="1355"/>
      <c r="E71" s="1357" t="s">
        <v>338</v>
      </c>
      <c r="F71" s="1363" t="s">
        <v>78</v>
      </c>
      <c r="G71" s="1364"/>
      <c r="H71" s="1364"/>
      <c r="I71" s="1364"/>
      <c r="J71" s="1364"/>
      <c r="K71" s="1364"/>
      <c r="L71" s="1365"/>
      <c r="M71" s="1371" t="s">
        <v>337</v>
      </c>
      <c r="N71" s="92"/>
    </row>
    <row r="72" spans="1:14" ht="31.5" customHeight="1">
      <c r="A72" s="1375"/>
      <c r="B72" s="1355"/>
      <c r="C72" s="1359"/>
      <c r="D72" s="1355"/>
      <c r="E72" s="1355"/>
      <c r="F72" s="1361" t="s">
        <v>492</v>
      </c>
      <c r="G72" s="1361"/>
      <c r="H72" s="1361" t="s">
        <v>494</v>
      </c>
      <c r="I72" s="1361" t="s">
        <v>596</v>
      </c>
      <c r="J72" s="1362" t="s">
        <v>593</v>
      </c>
      <c r="K72" s="1352" t="s">
        <v>335</v>
      </c>
      <c r="L72" s="1361" t="s">
        <v>336</v>
      </c>
      <c r="M72" s="1372"/>
      <c r="N72" s="92"/>
    </row>
    <row r="73" spans="1:14" ht="201.75" customHeight="1">
      <c r="A73" s="1376"/>
      <c r="B73" s="1356"/>
      <c r="C73" s="1360"/>
      <c r="D73" s="1356"/>
      <c r="E73" s="1356"/>
      <c r="F73" s="1010" t="s">
        <v>491</v>
      </c>
      <c r="G73" s="1010" t="s">
        <v>493</v>
      </c>
      <c r="H73" s="1361"/>
      <c r="I73" s="1361"/>
      <c r="J73" s="1362"/>
      <c r="K73" s="1353"/>
      <c r="L73" s="1361"/>
      <c r="M73" s="1373"/>
      <c r="N73" s="92"/>
    </row>
    <row r="74" spans="1:14" ht="12.75" thickBot="1">
      <c r="A74" s="442">
        <v>1</v>
      </c>
      <c r="B74" s="443">
        <v>2</v>
      </c>
      <c r="C74" s="444">
        <v>3</v>
      </c>
      <c r="D74" s="443">
        <v>4</v>
      </c>
      <c r="E74" s="443">
        <v>5</v>
      </c>
      <c r="F74" s="443">
        <v>6</v>
      </c>
      <c r="G74" s="443">
        <v>7</v>
      </c>
      <c r="H74" s="443">
        <v>8</v>
      </c>
      <c r="I74" s="443">
        <v>9</v>
      </c>
      <c r="J74" s="443">
        <v>10</v>
      </c>
      <c r="K74" s="443">
        <v>11</v>
      </c>
      <c r="L74" s="443">
        <v>12</v>
      </c>
      <c r="M74" s="445">
        <v>13</v>
      </c>
      <c r="N74" s="92"/>
    </row>
    <row r="75" spans="1:13" ht="12">
      <c r="A75" s="1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527"/>
    </row>
    <row r="76" spans="1:14" ht="12">
      <c r="A76" s="142" t="s">
        <v>81</v>
      </c>
      <c r="B76" s="42"/>
      <c r="C76" s="21" t="s">
        <v>82</v>
      </c>
      <c r="D76" s="125">
        <f aca="true" t="shared" si="21" ref="D76:M76">SUM(D78:D80)</f>
        <v>287000</v>
      </c>
      <c r="E76" s="125">
        <f t="shared" si="21"/>
        <v>287000</v>
      </c>
      <c r="F76" s="125">
        <f>SUM(F78:F80)</f>
        <v>0</v>
      </c>
      <c r="G76" s="125">
        <f>SUM(G78:G80)</f>
        <v>281000</v>
      </c>
      <c r="H76" s="125">
        <f t="shared" si="21"/>
        <v>6000</v>
      </c>
      <c r="I76" s="125">
        <f t="shared" si="21"/>
        <v>0</v>
      </c>
      <c r="J76" s="125">
        <f>SUM(J78:J80)</f>
        <v>0</v>
      </c>
      <c r="K76" s="125">
        <f t="shared" si="21"/>
        <v>0</v>
      </c>
      <c r="L76" s="125">
        <f t="shared" si="21"/>
        <v>0</v>
      </c>
      <c r="M76" s="495">
        <f t="shared" si="21"/>
        <v>0</v>
      </c>
      <c r="N76" s="92"/>
    </row>
    <row r="77" spans="1:14" ht="12">
      <c r="A77" s="17"/>
      <c r="B77" s="20"/>
      <c r="C77" s="16"/>
      <c r="D77" s="124"/>
      <c r="E77" s="124"/>
      <c r="F77" s="124"/>
      <c r="G77" s="124"/>
      <c r="H77" s="124"/>
      <c r="I77" s="124"/>
      <c r="J77" s="124"/>
      <c r="K77" s="124"/>
      <c r="L77" s="124"/>
      <c r="M77" s="494"/>
      <c r="N77" s="92"/>
    </row>
    <row r="78" spans="1:14" ht="12">
      <c r="A78" s="17"/>
      <c r="B78" s="129" t="s">
        <v>478</v>
      </c>
      <c r="C78" s="43" t="s">
        <v>479</v>
      </c>
      <c r="D78" s="124">
        <f>SUM(E78+M78)</f>
        <v>280000</v>
      </c>
      <c r="E78" s="1300">
        <f>SUM(F78:L78)</f>
        <v>280000</v>
      </c>
      <c r="F78" s="130"/>
      <c r="G78" s="130">
        <v>280000</v>
      </c>
      <c r="H78" s="130"/>
      <c r="I78" s="130"/>
      <c r="J78" s="130"/>
      <c r="K78" s="130"/>
      <c r="L78" s="130"/>
      <c r="M78" s="530"/>
      <c r="N78" s="92"/>
    </row>
    <row r="79" spans="1:14" ht="12">
      <c r="A79" s="17"/>
      <c r="B79" s="129" t="s">
        <v>90</v>
      </c>
      <c r="C79" s="43" t="s">
        <v>91</v>
      </c>
      <c r="D79" s="124">
        <f>SUM(E79+M79)</f>
        <v>6000</v>
      </c>
      <c r="E79" s="1300">
        <f>SUM(F79:L79)</f>
        <v>6000</v>
      </c>
      <c r="F79" s="130"/>
      <c r="G79" s="130"/>
      <c r="H79" s="130">
        <v>6000</v>
      </c>
      <c r="I79" s="130"/>
      <c r="J79" s="130"/>
      <c r="K79" s="130"/>
      <c r="L79" s="130"/>
      <c r="M79" s="530"/>
      <c r="N79" s="92"/>
    </row>
    <row r="80" spans="1:14" ht="12.75" thickBot="1">
      <c r="A80" s="44"/>
      <c r="B80" s="131" t="s">
        <v>480</v>
      </c>
      <c r="C80" s="45" t="s">
        <v>467</v>
      </c>
      <c r="D80" s="133">
        <f>SUM(E80+M80)</f>
        <v>1000</v>
      </c>
      <c r="E80" s="1301">
        <f>SUM(F80:L80)</f>
        <v>1000</v>
      </c>
      <c r="F80" s="132"/>
      <c r="G80" s="132">
        <v>1000</v>
      </c>
      <c r="H80" s="132"/>
      <c r="I80" s="132"/>
      <c r="J80" s="132"/>
      <c r="K80" s="132"/>
      <c r="L80" s="132"/>
      <c r="M80" s="497"/>
      <c r="N80" s="92"/>
    </row>
    <row r="81" spans="1:14" ht="12.75" thickTop="1">
      <c r="A81" s="17"/>
      <c r="B81" s="20"/>
      <c r="C81" s="16"/>
      <c r="D81" s="124"/>
      <c r="E81" s="124"/>
      <c r="F81" s="124"/>
      <c r="G81" s="124"/>
      <c r="H81" s="124"/>
      <c r="I81" s="124"/>
      <c r="J81" s="124"/>
      <c r="K81" s="124"/>
      <c r="L81" s="124"/>
      <c r="M81" s="494"/>
      <c r="N81" s="92"/>
    </row>
    <row r="82" spans="1:14" ht="12">
      <c r="A82" s="17">
        <v>400</v>
      </c>
      <c r="B82" s="20"/>
      <c r="C82" s="16" t="s">
        <v>460</v>
      </c>
      <c r="D82" s="124"/>
      <c r="E82" s="124"/>
      <c r="F82" s="124"/>
      <c r="G82" s="124"/>
      <c r="H82" s="124"/>
      <c r="I82" s="48"/>
      <c r="J82" s="137"/>
      <c r="K82" s="124"/>
      <c r="L82" s="124"/>
      <c r="M82" s="494"/>
      <c r="N82" s="92"/>
    </row>
    <row r="83" spans="1:14" ht="12">
      <c r="A83" s="17"/>
      <c r="B83" s="42"/>
      <c r="C83" s="21" t="s">
        <v>461</v>
      </c>
      <c r="D83" s="134">
        <f aca="true" t="shared" si="22" ref="D83:J83">SUM(D85:D86)</f>
        <v>1520000</v>
      </c>
      <c r="E83" s="134">
        <f t="shared" si="22"/>
        <v>20000</v>
      </c>
      <c r="F83" s="134">
        <f t="shared" si="22"/>
        <v>0</v>
      </c>
      <c r="G83" s="134">
        <f t="shared" si="22"/>
        <v>20000</v>
      </c>
      <c r="H83" s="134">
        <f t="shared" si="22"/>
        <v>0</v>
      </c>
      <c r="I83" s="134">
        <f t="shared" si="22"/>
        <v>0</v>
      </c>
      <c r="J83" s="134">
        <f t="shared" si="22"/>
        <v>0</v>
      </c>
      <c r="K83" s="134">
        <f>SUM(K85:K85)</f>
        <v>0</v>
      </c>
      <c r="L83" s="134">
        <f>SUM(L85:L85)</f>
        <v>0</v>
      </c>
      <c r="M83" s="495">
        <f>SUM(M85:M85)</f>
        <v>1500000</v>
      </c>
      <c r="N83" s="92"/>
    </row>
    <row r="84" spans="1:14" ht="12">
      <c r="A84" s="17"/>
      <c r="B84" s="20"/>
      <c r="C84" s="16"/>
      <c r="D84" s="124"/>
      <c r="E84" s="124"/>
      <c r="F84" s="124"/>
      <c r="G84" s="124"/>
      <c r="H84" s="124"/>
      <c r="I84" s="48"/>
      <c r="J84" s="137"/>
      <c r="K84" s="124"/>
      <c r="L84" s="124"/>
      <c r="M84" s="494"/>
      <c r="N84" s="92"/>
    </row>
    <row r="85" spans="1:14" ht="12">
      <c r="A85" s="87"/>
      <c r="B85" s="50">
        <v>40002</v>
      </c>
      <c r="C85" s="54" t="s">
        <v>462</v>
      </c>
      <c r="D85" s="124">
        <f>SUM(E85+M85)</f>
        <v>1500000</v>
      </c>
      <c r="E85" s="48"/>
      <c r="F85" s="48"/>
      <c r="G85" s="48"/>
      <c r="H85" s="211"/>
      <c r="I85" s="48"/>
      <c r="J85" s="211"/>
      <c r="K85" s="48"/>
      <c r="L85" s="48"/>
      <c r="M85" s="494">
        <f>500000+700000+300000</f>
        <v>1500000</v>
      </c>
      <c r="N85" s="92"/>
    </row>
    <row r="86" spans="1:14" ht="12.75" thickBot="1">
      <c r="A86" s="44"/>
      <c r="B86" s="46">
        <v>40004</v>
      </c>
      <c r="C86" s="45" t="s">
        <v>332</v>
      </c>
      <c r="D86" s="132">
        <f>SUM(E86+M86)</f>
        <v>20000</v>
      </c>
      <c r="E86" s="1301">
        <f>SUM(F86:L86)</f>
        <v>20000</v>
      </c>
      <c r="F86" s="132"/>
      <c r="G86" s="132">
        <v>20000</v>
      </c>
      <c r="H86" s="133"/>
      <c r="I86" s="133"/>
      <c r="J86" s="1007"/>
      <c r="K86" s="132"/>
      <c r="L86" s="132"/>
      <c r="M86" s="497"/>
      <c r="N86" s="92"/>
    </row>
    <row r="87" spans="1:14" ht="12.75" thickTop="1">
      <c r="A87" s="17"/>
      <c r="B87" s="20"/>
      <c r="C87" s="16"/>
      <c r="D87" s="124"/>
      <c r="E87" s="124"/>
      <c r="F87" s="124"/>
      <c r="G87" s="124"/>
      <c r="H87" s="124"/>
      <c r="I87" s="48"/>
      <c r="J87" s="137"/>
      <c r="K87" s="124"/>
      <c r="L87" s="124"/>
      <c r="M87" s="494"/>
      <c r="N87" s="92"/>
    </row>
    <row r="88" spans="1:14" ht="12">
      <c r="A88" s="17">
        <v>600</v>
      </c>
      <c r="B88" s="42"/>
      <c r="C88" s="21" t="s">
        <v>441</v>
      </c>
      <c r="D88" s="125">
        <f aca="true" t="shared" si="23" ref="D88:M88">SUM(D90:D91)</f>
        <v>11126416</v>
      </c>
      <c r="E88" s="125">
        <f t="shared" si="23"/>
        <v>6975416</v>
      </c>
      <c r="F88" s="125">
        <f>SUM(F90:F91)</f>
        <v>0</v>
      </c>
      <c r="G88" s="125">
        <f>SUM(G90:G91)</f>
        <v>6975416</v>
      </c>
      <c r="H88" s="125">
        <f t="shared" si="23"/>
        <v>0</v>
      </c>
      <c r="I88" s="134">
        <f t="shared" si="23"/>
        <v>0</v>
      </c>
      <c r="J88" s="1008">
        <f>SUM(J90:J91)</f>
        <v>0</v>
      </c>
      <c r="K88" s="125">
        <f t="shared" si="23"/>
        <v>0</v>
      </c>
      <c r="L88" s="125">
        <f t="shared" si="23"/>
        <v>0</v>
      </c>
      <c r="M88" s="495">
        <f t="shared" si="23"/>
        <v>4151000</v>
      </c>
      <c r="N88" s="92"/>
    </row>
    <row r="89" spans="1:14" ht="12">
      <c r="A89" s="17"/>
      <c r="B89" s="20"/>
      <c r="C89" s="16"/>
      <c r="D89" s="124"/>
      <c r="E89" s="124"/>
      <c r="F89" s="124"/>
      <c r="G89" s="124"/>
      <c r="H89" s="124"/>
      <c r="I89" s="48"/>
      <c r="J89" s="137"/>
      <c r="K89" s="124"/>
      <c r="L89" s="124"/>
      <c r="M89" s="494"/>
      <c r="N89" s="92"/>
    </row>
    <row r="90" spans="1:14" ht="12">
      <c r="A90" s="17"/>
      <c r="B90" s="20">
        <v>60004</v>
      </c>
      <c r="C90" s="16" t="s">
        <v>92</v>
      </c>
      <c r="D90" s="124">
        <f>SUM(E90+M90)</f>
        <v>4997016</v>
      </c>
      <c r="E90" s="124">
        <f>SUM(F90:L90)</f>
        <v>4997016</v>
      </c>
      <c r="F90" s="124"/>
      <c r="G90" s="124">
        <v>4997016</v>
      </c>
      <c r="H90" s="124"/>
      <c r="I90" s="48"/>
      <c r="J90" s="137"/>
      <c r="K90" s="124"/>
      <c r="L90" s="124"/>
      <c r="M90" s="494"/>
      <c r="N90" s="92"/>
    </row>
    <row r="91" spans="1:14" ht="12.75" thickBot="1">
      <c r="A91" s="44"/>
      <c r="B91" s="46">
        <v>60016</v>
      </c>
      <c r="C91" s="45" t="s">
        <v>463</v>
      </c>
      <c r="D91" s="132">
        <f>SUM(E91+M91)</f>
        <v>6129400</v>
      </c>
      <c r="E91" s="1301">
        <f>SUM(F91:L91)</f>
        <v>1978400</v>
      </c>
      <c r="F91" s="132"/>
      <c r="G91" s="132">
        <f>1828400-200000+150000+150000+50000</f>
        <v>1978400</v>
      </c>
      <c r="H91" s="132"/>
      <c r="I91" s="133"/>
      <c r="J91" s="1007"/>
      <c r="K91" s="132"/>
      <c r="L91" s="132"/>
      <c r="M91" s="497">
        <f>3251000+350000+500000+50000</f>
        <v>4151000</v>
      </c>
      <c r="N91" s="92"/>
    </row>
    <row r="92" spans="1:14" ht="12.75" thickTop="1">
      <c r="A92" s="17"/>
      <c r="B92" s="20"/>
      <c r="C92" s="16"/>
      <c r="D92" s="124"/>
      <c r="E92" s="124"/>
      <c r="F92" s="124"/>
      <c r="G92" s="124"/>
      <c r="H92" s="124"/>
      <c r="I92" s="124"/>
      <c r="J92" s="124"/>
      <c r="K92" s="124"/>
      <c r="L92" s="124"/>
      <c r="M92" s="494"/>
      <c r="N92" s="92"/>
    </row>
    <row r="93" spans="1:14" ht="12">
      <c r="A93" s="17">
        <v>630</v>
      </c>
      <c r="B93" s="42"/>
      <c r="C93" s="21" t="s">
        <v>442</v>
      </c>
      <c r="D93" s="125">
        <f aca="true" t="shared" si="24" ref="D93:M93">SUM(D95:D95)</f>
        <v>871800</v>
      </c>
      <c r="E93" s="125">
        <f t="shared" si="24"/>
        <v>21800</v>
      </c>
      <c r="F93" s="125">
        <f>SUM(F95:F95)</f>
        <v>0</v>
      </c>
      <c r="G93" s="125">
        <f>SUM(G95:G95)</f>
        <v>12100</v>
      </c>
      <c r="H93" s="125">
        <f t="shared" si="24"/>
        <v>9700</v>
      </c>
      <c r="I93" s="125">
        <f t="shared" si="24"/>
        <v>0</v>
      </c>
      <c r="J93" s="125">
        <f>SUM(J95:J95)</f>
        <v>0</v>
      </c>
      <c r="K93" s="125">
        <f t="shared" si="24"/>
        <v>0</v>
      </c>
      <c r="L93" s="125">
        <f t="shared" si="24"/>
        <v>0</v>
      </c>
      <c r="M93" s="495">
        <f t="shared" si="24"/>
        <v>850000</v>
      </c>
      <c r="N93" s="92"/>
    </row>
    <row r="94" spans="1:14" ht="12">
      <c r="A94" s="17"/>
      <c r="B94" s="20"/>
      <c r="C94" s="16"/>
      <c r="D94" s="124"/>
      <c r="E94" s="124"/>
      <c r="F94" s="124"/>
      <c r="G94" s="124"/>
      <c r="H94" s="124"/>
      <c r="I94" s="124"/>
      <c r="J94" s="124"/>
      <c r="K94" s="124"/>
      <c r="L94" s="124"/>
      <c r="M94" s="494"/>
      <c r="N94" s="92"/>
    </row>
    <row r="95" spans="1:14" ht="12.75" thickBot="1">
      <c r="A95" s="44"/>
      <c r="B95" s="46">
        <v>63003</v>
      </c>
      <c r="C95" s="45" t="s">
        <v>464</v>
      </c>
      <c r="D95" s="132">
        <f>SUM(E95+M95)</f>
        <v>871800</v>
      </c>
      <c r="E95" s="1301">
        <f>SUM(F95:L95)</f>
        <v>21800</v>
      </c>
      <c r="F95" s="132"/>
      <c r="G95" s="132">
        <v>12100</v>
      </c>
      <c r="H95" s="132">
        <v>9700</v>
      </c>
      <c r="I95" s="132"/>
      <c r="J95" s="132"/>
      <c r="K95" s="132"/>
      <c r="L95" s="132"/>
      <c r="M95" s="497">
        <f>5210000-3760000-1200000+600000</f>
        <v>850000</v>
      </c>
      <c r="N95" s="92"/>
    </row>
    <row r="96" spans="1:14" ht="12.75" thickTop="1">
      <c r="A96" s="17"/>
      <c r="B96" s="20"/>
      <c r="C96" s="16"/>
      <c r="D96" s="124"/>
      <c r="E96" s="124"/>
      <c r="F96" s="124"/>
      <c r="G96" s="124"/>
      <c r="H96" s="124"/>
      <c r="I96" s="124"/>
      <c r="J96" s="124"/>
      <c r="K96" s="124"/>
      <c r="L96" s="124"/>
      <c r="M96" s="494"/>
      <c r="N96" s="92"/>
    </row>
    <row r="97" spans="1:14" ht="12">
      <c r="A97" s="17">
        <v>700</v>
      </c>
      <c r="B97" s="42"/>
      <c r="C97" s="21" t="s">
        <v>443</v>
      </c>
      <c r="D97" s="125">
        <f aca="true" t="shared" si="25" ref="D97:M97">SUM(D99:D101)</f>
        <v>17573000</v>
      </c>
      <c r="E97" s="125">
        <f t="shared" si="25"/>
        <v>3953000</v>
      </c>
      <c r="F97" s="125">
        <f>SUM(F99:F101)</f>
        <v>70000</v>
      </c>
      <c r="G97" s="125">
        <f>SUM(G99:G101)</f>
        <v>1183000</v>
      </c>
      <c r="H97" s="125">
        <f t="shared" si="25"/>
        <v>2700000</v>
      </c>
      <c r="I97" s="125">
        <f t="shared" si="25"/>
        <v>0</v>
      </c>
      <c r="J97" s="125">
        <f>SUM(J99:J101)</f>
        <v>0</v>
      </c>
      <c r="K97" s="125">
        <f t="shared" si="25"/>
        <v>0</v>
      </c>
      <c r="L97" s="125">
        <f t="shared" si="25"/>
        <v>0</v>
      </c>
      <c r="M97" s="495">
        <f t="shared" si="25"/>
        <v>13620000</v>
      </c>
      <c r="N97" s="92"/>
    </row>
    <row r="98" spans="1:15" ht="12">
      <c r="A98" s="17"/>
      <c r="B98" s="20"/>
      <c r="C98" s="16"/>
      <c r="D98" s="124"/>
      <c r="E98" s="124"/>
      <c r="F98" s="124"/>
      <c r="G98" s="124"/>
      <c r="H98" s="124"/>
      <c r="I98" s="124"/>
      <c r="J98" s="124"/>
      <c r="K98" s="124"/>
      <c r="L98" s="124"/>
      <c r="M98" s="494"/>
      <c r="N98" s="699" t="s">
        <v>293</v>
      </c>
      <c r="O98" s="694"/>
    </row>
    <row r="99" spans="1:15" ht="12">
      <c r="A99" s="17"/>
      <c r="B99" s="20">
        <v>70001</v>
      </c>
      <c r="C99" s="16" t="s">
        <v>352</v>
      </c>
      <c r="D99" s="124">
        <f>SUM(E99+M99)</f>
        <v>6020000</v>
      </c>
      <c r="E99" s="124">
        <f>SUM(F99:L99)</f>
        <v>2700000</v>
      </c>
      <c r="F99" s="124"/>
      <c r="G99" s="124"/>
      <c r="H99" s="124">
        <f>3180923-480923</f>
        <v>2700000</v>
      </c>
      <c r="I99" s="124"/>
      <c r="J99" s="124"/>
      <c r="K99" s="124"/>
      <c r="L99" s="124"/>
      <c r="M99" s="494">
        <f>4694520-104460-52060-150000-550000-18000-1000000+500000</f>
        <v>3320000</v>
      </c>
      <c r="N99" s="700">
        <f>SUM(H99,H146:H153,H191,H202,-47000,-50000,H183)</f>
        <v>38832841</v>
      </c>
      <c r="O99" s="694" t="s">
        <v>289</v>
      </c>
    </row>
    <row r="100" spans="1:15" ht="12">
      <c r="A100" s="17"/>
      <c r="B100" s="20">
        <v>70005</v>
      </c>
      <c r="C100" s="16" t="s">
        <v>465</v>
      </c>
      <c r="D100" s="124">
        <f>SUM(E100+M100)</f>
        <v>1293000</v>
      </c>
      <c r="E100" s="124">
        <f>SUM(F100:L100)</f>
        <v>1253000</v>
      </c>
      <c r="F100" s="124">
        <v>70000</v>
      </c>
      <c r="G100" s="124">
        <v>1183000</v>
      </c>
      <c r="H100" s="124"/>
      <c r="I100" s="124"/>
      <c r="J100" s="124"/>
      <c r="K100" s="124"/>
      <c r="L100" s="124"/>
      <c r="M100" s="530">
        <v>40000</v>
      </c>
      <c r="N100" s="700">
        <f>SUM(30000,47000,50000,H207,H208)</f>
        <v>3113300</v>
      </c>
      <c r="O100" s="694" t="s">
        <v>290</v>
      </c>
    </row>
    <row r="101" spans="1:15" ht="12.75" thickBot="1">
      <c r="A101" s="44"/>
      <c r="B101" s="46">
        <v>70095</v>
      </c>
      <c r="C101" s="45" t="s">
        <v>467</v>
      </c>
      <c r="D101" s="133">
        <f>SUM(E101+M101)</f>
        <v>10260000</v>
      </c>
      <c r="E101" s="132"/>
      <c r="F101" s="132"/>
      <c r="G101" s="132"/>
      <c r="H101" s="132"/>
      <c r="I101" s="132"/>
      <c r="J101" s="132"/>
      <c r="K101" s="132"/>
      <c r="L101" s="132"/>
      <c r="M101" s="497">
        <f>10760000-1000000+500000</f>
        <v>10260000</v>
      </c>
      <c r="N101" s="700" t="e">
        <f>SUM(20000,H95,H161,H178,H185,H190,#REF!,H209,H210,H216,168000)</f>
        <v>#REF!</v>
      </c>
      <c r="O101" s="694" t="s">
        <v>291</v>
      </c>
    </row>
    <row r="102" spans="1:15" ht="12.75" thickTop="1">
      <c r="A102" s="17"/>
      <c r="B102" s="20"/>
      <c r="C102" s="16"/>
      <c r="D102" s="124"/>
      <c r="E102" s="124"/>
      <c r="F102" s="124"/>
      <c r="G102" s="124"/>
      <c r="H102" s="124"/>
      <c r="I102" s="124"/>
      <c r="J102" s="124"/>
      <c r="K102" s="124"/>
      <c r="L102" s="124"/>
      <c r="M102" s="494"/>
      <c r="N102" s="700">
        <f>SUM(88000)</f>
        <v>88000</v>
      </c>
      <c r="O102" s="694" t="s">
        <v>292</v>
      </c>
    </row>
    <row r="103" spans="1:15" ht="12">
      <c r="A103" s="17">
        <v>710</v>
      </c>
      <c r="B103" s="42"/>
      <c r="C103" s="21" t="s">
        <v>444</v>
      </c>
      <c r="D103" s="125">
        <f>SUM(D105:D107)</f>
        <v>1731344</v>
      </c>
      <c r="E103" s="125">
        <f aca="true" t="shared" si="26" ref="E103:M103">SUM(E105:E107)</f>
        <v>731344</v>
      </c>
      <c r="F103" s="125">
        <f>SUM(F105:F107)</f>
        <v>19600</v>
      </c>
      <c r="G103" s="125">
        <f>SUM(G105:G107)</f>
        <v>706744</v>
      </c>
      <c r="H103" s="125">
        <f t="shared" si="26"/>
        <v>0</v>
      </c>
      <c r="I103" s="125">
        <f t="shared" si="26"/>
        <v>5000</v>
      </c>
      <c r="J103" s="125">
        <f>SUM(J105:J107)</f>
        <v>0</v>
      </c>
      <c r="K103" s="125">
        <f t="shared" si="26"/>
        <v>0</v>
      </c>
      <c r="L103" s="125">
        <f t="shared" si="26"/>
        <v>0</v>
      </c>
      <c r="M103" s="495">
        <f t="shared" si="26"/>
        <v>1000000</v>
      </c>
      <c r="N103" s="700" t="e">
        <f>SUM(N99:N102)</f>
        <v>#REF!</v>
      </c>
      <c r="O103" s="694"/>
    </row>
    <row r="104" spans="1:14" s="29" customFormat="1" ht="12">
      <c r="A104" s="17"/>
      <c r="B104" s="20"/>
      <c r="C104" s="16"/>
      <c r="D104" s="124"/>
      <c r="E104" s="124"/>
      <c r="F104" s="124"/>
      <c r="G104" s="124"/>
      <c r="H104" s="124"/>
      <c r="I104" s="124"/>
      <c r="J104" s="124"/>
      <c r="K104" s="124"/>
      <c r="L104" s="124"/>
      <c r="M104" s="494"/>
      <c r="N104" s="92"/>
    </row>
    <row r="105" spans="1:14" ht="12">
      <c r="A105" s="17"/>
      <c r="B105" s="20">
        <v>71004</v>
      </c>
      <c r="C105" s="16" t="s">
        <v>94</v>
      </c>
      <c r="D105" s="124">
        <f>SUM(E105+M105)</f>
        <v>456344</v>
      </c>
      <c r="E105" s="124">
        <f>SUM(F105:L105)</f>
        <v>456344</v>
      </c>
      <c r="F105" s="124">
        <v>9600</v>
      </c>
      <c r="G105" s="124">
        <v>446744</v>
      </c>
      <c r="H105" s="124"/>
      <c r="I105" s="124"/>
      <c r="J105" s="124"/>
      <c r="K105" s="124"/>
      <c r="L105" s="124"/>
      <c r="M105" s="494"/>
      <c r="N105" s="92"/>
    </row>
    <row r="106" spans="1:14" ht="12">
      <c r="A106" s="17"/>
      <c r="B106" s="20">
        <v>71014</v>
      </c>
      <c r="C106" s="16" t="s">
        <v>466</v>
      </c>
      <c r="D106" s="124">
        <f>SUM(E106+M106)</f>
        <v>270000</v>
      </c>
      <c r="E106" s="124">
        <f>SUM(F106:L106)</f>
        <v>270000</v>
      </c>
      <c r="F106" s="124">
        <v>10000</v>
      </c>
      <c r="G106" s="124">
        <v>260000</v>
      </c>
      <c r="H106" s="124"/>
      <c r="I106" s="124"/>
      <c r="J106" s="124"/>
      <c r="K106" s="124"/>
      <c r="L106" s="124"/>
      <c r="M106" s="494"/>
      <c r="N106" s="92"/>
    </row>
    <row r="107" spans="1:14" ht="12.75" thickBot="1">
      <c r="A107" s="18"/>
      <c r="B107" s="19">
        <v>71095</v>
      </c>
      <c r="C107" s="22" t="s">
        <v>467</v>
      </c>
      <c r="D107" s="135">
        <f>SUM(E107+M107)</f>
        <v>1005000</v>
      </c>
      <c r="E107" s="135">
        <f>SUM(F107:L107)</f>
        <v>5000</v>
      </c>
      <c r="F107" s="135"/>
      <c r="G107" s="135"/>
      <c r="H107" s="135"/>
      <c r="I107" s="135">
        <v>5000</v>
      </c>
      <c r="J107" s="135"/>
      <c r="K107" s="135"/>
      <c r="L107" s="135"/>
      <c r="M107" s="522">
        <f>1700000-700000</f>
        <v>1000000</v>
      </c>
      <c r="N107" s="92"/>
    </row>
    <row r="108" spans="1:14" ht="12">
      <c r="A108" s="441">
        <v>1</v>
      </c>
      <c r="B108" s="446">
        <v>2</v>
      </c>
      <c r="C108" s="446">
        <v>3</v>
      </c>
      <c r="D108" s="447">
        <v>4</v>
      </c>
      <c r="E108" s="447">
        <v>5</v>
      </c>
      <c r="F108" s="447">
        <v>6</v>
      </c>
      <c r="G108" s="447">
        <v>7</v>
      </c>
      <c r="H108" s="447">
        <v>8</v>
      </c>
      <c r="I108" s="447">
        <v>9</v>
      </c>
      <c r="J108" s="447">
        <v>10</v>
      </c>
      <c r="K108" s="447">
        <v>11</v>
      </c>
      <c r="L108" s="447">
        <v>12</v>
      </c>
      <c r="M108" s="524">
        <v>13</v>
      </c>
      <c r="N108" s="92"/>
    </row>
    <row r="109" spans="1:14" ht="12">
      <c r="A109" s="17"/>
      <c r="B109" s="20"/>
      <c r="C109" s="16"/>
      <c r="D109" s="124"/>
      <c r="E109" s="124"/>
      <c r="F109" s="124"/>
      <c r="G109" s="124"/>
      <c r="H109" s="124"/>
      <c r="I109" s="124"/>
      <c r="J109" s="124"/>
      <c r="K109" s="124"/>
      <c r="L109" s="124"/>
      <c r="M109" s="494"/>
      <c r="N109" s="92"/>
    </row>
    <row r="110" spans="1:14" ht="12">
      <c r="A110" s="17">
        <v>750</v>
      </c>
      <c r="B110" s="42"/>
      <c r="C110" s="21" t="s">
        <v>446</v>
      </c>
      <c r="D110" s="125">
        <f>SUM(D112:D117)</f>
        <v>13378757</v>
      </c>
      <c r="E110" s="125">
        <f aca="true" t="shared" si="27" ref="E110:M110">SUM(E112:E117)</f>
        <v>11911406</v>
      </c>
      <c r="F110" s="125">
        <f>SUM(F112:F117)</f>
        <v>8654940</v>
      </c>
      <c r="G110" s="125">
        <f>SUM(G112:G117)</f>
        <v>2697728</v>
      </c>
      <c r="H110" s="125">
        <f t="shared" si="27"/>
        <v>0</v>
      </c>
      <c r="I110" s="125">
        <f t="shared" si="27"/>
        <v>449658</v>
      </c>
      <c r="J110" s="125">
        <f>SUM(J112:J117)</f>
        <v>109080</v>
      </c>
      <c r="K110" s="125">
        <f t="shared" si="27"/>
        <v>0</v>
      </c>
      <c r="L110" s="125">
        <f t="shared" si="27"/>
        <v>0</v>
      </c>
      <c r="M110" s="495">
        <f t="shared" si="27"/>
        <v>1467351</v>
      </c>
      <c r="N110" s="92"/>
    </row>
    <row r="111" spans="1:14" ht="12">
      <c r="A111" s="17"/>
      <c r="B111" s="20"/>
      <c r="C111" s="16"/>
      <c r="D111" s="124"/>
      <c r="E111" s="124"/>
      <c r="F111" s="124"/>
      <c r="G111" s="124"/>
      <c r="H111" s="124"/>
      <c r="I111" s="124"/>
      <c r="J111" s="124"/>
      <c r="K111" s="124"/>
      <c r="L111" s="124"/>
      <c r="M111" s="494"/>
      <c r="N111" s="92"/>
    </row>
    <row r="112" spans="1:14" ht="12">
      <c r="A112" s="17"/>
      <c r="B112" s="20">
        <v>75022</v>
      </c>
      <c r="C112" s="16" t="s">
        <v>111</v>
      </c>
      <c r="D112" s="124">
        <f aca="true" t="shared" si="28" ref="D112:D117">SUM(E112+M112)</f>
        <v>672158</v>
      </c>
      <c r="E112" s="124">
        <f aca="true" t="shared" si="29" ref="E112:E117">SUM(F112:L112)</f>
        <v>672158</v>
      </c>
      <c r="F112" s="124">
        <v>3000</v>
      </c>
      <c r="G112" s="124">
        <f>171500+80000</f>
        <v>251500</v>
      </c>
      <c r="H112" s="124"/>
      <c r="I112" s="124">
        <v>417658</v>
      </c>
      <c r="J112" s="124"/>
      <c r="K112" s="124"/>
      <c r="L112" s="124"/>
      <c r="M112" s="494"/>
      <c r="N112" s="92"/>
    </row>
    <row r="113" spans="1:14" ht="12">
      <c r="A113" s="17"/>
      <c r="B113" s="20">
        <v>75023</v>
      </c>
      <c r="C113" s="16" t="s">
        <v>345</v>
      </c>
      <c r="D113" s="124">
        <f t="shared" si="28"/>
        <v>12029891</v>
      </c>
      <c r="E113" s="124">
        <f t="shared" si="29"/>
        <v>10562540</v>
      </c>
      <c r="F113" s="124">
        <f>8589460+7700-7700</f>
        <v>8589460</v>
      </c>
      <c r="G113" s="124">
        <v>1907480</v>
      </c>
      <c r="H113" s="124"/>
      <c r="I113" s="124">
        <v>32000</v>
      </c>
      <c r="J113" s="124">
        <v>33600</v>
      </c>
      <c r="K113" s="124"/>
      <c r="L113" s="124"/>
      <c r="M113" s="494">
        <f>1540451-30000-43100</f>
        <v>1467351</v>
      </c>
      <c r="N113" s="92"/>
    </row>
    <row r="114" spans="1:14" ht="12">
      <c r="A114" s="17"/>
      <c r="B114" s="20">
        <v>75051</v>
      </c>
      <c r="C114" s="2" t="s">
        <v>57</v>
      </c>
      <c r="D114" s="124">
        <f t="shared" si="28"/>
        <v>25000</v>
      </c>
      <c r="E114" s="124">
        <f t="shared" si="29"/>
        <v>25000</v>
      </c>
      <c r="F114" s="124">
        <v>8740</v>
      </c>
      <c r="G114" s="124">
        <v>16260</v>
      </c>
      <c r="H114" s="124"/>
      <c r="I114" s="124"/>
      <c r="J114" s="124"/>
      <c r="K114" s="124"/>
      <c r="L114" s="124"/>
      <c r="M114" s="494"/>
      <c r="N114" s="92"/>
    </row>
    <row r="115" spans="1:14" ht="36">
      <c r="A115" s="17"/>
      <c r="B115" s="1307">
        <v>75053</v>
      </c>
      <c r="C115" s="983" t="s">
        <v>58</v>
      </c>
      <c r="D115" s="124">
        <f t="shared" si="28"/>
        <v>25000</v>
      </c>
      <c r="E115" s="124">
        <f t="shared" si="29"/>
        <v>25000</v>
      </c>
      <c r="F115" s="124">
        <v>8740</v>
      </c>
      <c r="G115" s="124">
        <v>16260</v>
      </c>
      <c r="H115" s="124"/>
      <c r="I115" s="124"/>
      <c r="J115" s="124"/>
      <c r="K115" s="124"/>
      <c r="L115" s="124"/>
      <c r="M115" s="494"/>
      <c r="N115" s="92"/>
    </row>
    <row r="116" spans="1:14" ht="12">
      <c r="A116" s="17"/>
      <c r="B116" s="20">
        <v>75075</v>
      </c>
      <c r="C116" s="16" t="s">
        <v>18</v>
      </c>
      <c r="D116" s="124">
        <f t="shared" si="28"/>
        <v>260000</v>
      </c>
      <c r="E116" s="124">
        <f t="shared" si="29"/>
        <v>260000</v>
      </c>
      <c r="F116" s="124">
        <f>36000-20000</f>
        <v>16000</v>
      </c>
      <c r="G116" s="124">
        <f>474000-230000</f>
        <v>244000</v>
      </c>
      <c r="H116" s="124"/>
      <c r="I116" s="124"/>
      <c r="J116" s="124"/>
      <c r="K116" s="124"/>
      <c r="L116" s="124"/>
      <c r="M116" s="494"/>
      <c r="N116" s="92"/>
    </row>
    <row r="117" spans="1:14" ht="12.75" thickBot="1">
      <c r="A117" s="44"/>
      <c r="B117" s="46">
        <v>75095</v>
      </c>
      <c r="C117" s="45" t="s">
        <v>467</v>
      </c>
      <c r="D117" s="133">
        <f t="shared" si="28"/>
        <v>366708</v>
      </c>
      <c r="E117" s="1301">
        <f t="shared" si="29"/>
        <v>366708</v>
      </c>
      <c r="F117" s="132">
        <v>29000</v>
      </c>
      <c r="G117" s="132">
        <f>382228-120000</f>
        <v>262228</v>
      </c>
      <c r="H117" s="132"/>
      <c r="I117" s="132"/>
      <c r="J117" s="132">
        <v>75480</v>
      </c>
      <c r="K117" s="132"/>
      <c r="L117" s="132"/>
      <c r="M117" s="497"/>
      <c r="N117" s="92"/>
    </row>
    <row r="118" spans="1:14" ht="12.75" thickTop="1">
      <c r="A118" s="17"/>
      <c r="B118" s="20"/>
      <c r="C118" s="16"/>
      <c r="D118" s="124"/>
      <c r="E118" s="124"/>
      <c r="F118" s="124"/>
      <c r="G118" s="124"/>
      <c r="H118" s="124"/>
      <c r="I118" s="124"/>
      <c r="J118" s="124"/>
      <c r="K118" s="124"/>
      <c r="L118" s="124"/>
      <c r="M118" s="494"/>
      <c r="N118" s="92"/>
    </row>
    <row r="119" spans="1:14" ht="12">
      <c r="A119" s="17">
        <v>754</v>
      </c>
      <c r="B119" s="20"/>
      <c r="C119" s="16" t="s">
        <v>468</v>
      </c>
      <c r="D119" s="124"/>
      <c r="E119" s="124"/>
      <c r="F119" s="124"/>
      <c r="G119" s="124"/>
      <c r="H119" s="124"/>
      <c r="I119" s="124"/>
      <c r="J119" s="124"/>
      <c r="K119" s="124"/>
      <c r="L119" s="124"/>
      <c r="M119" s="494"/>
      <c r="N119" s="92"/>
    </row>
    <row r="120" spans="1:14" ht="12">
      <c r="A120" s="17"/>
      <c r="B120" s="42"/>
      <c r="C120" s="21" t="s">
        <v>469</v>
      </c>
      <c r="D120" s="125">
        <f aca="true" t="shared" si="30" ref="D120:M120">SUM(D122:D125)</f>
        <v>4386400</v>
      </c>
      <c r="E120" s="125">
        <f t="shared" si="30"/>
        <v>1341400</v>
      </c>
      <c r="F120" s="125">
        <f>SUM(F122:F125)</f>
        <v>762900</v>
      </c>
      <c r="G120" s="125">
        <f>SUM(G122:G125)</f>
        <v>458600</v>
      </c>
      <c r="H120" s="125">
        <f t="shared" si="30"/>
        <v>65000</v>
      </c>
      <c r="I120" s="125">
        <f t="shared" si="30"/>
        <v>54900</v>
      </c>
      <c r="J120" s="125">
        <f>SUM(J122:J125)</f>
        <v>0</v>
      </c>
      <c r="K120" s="125">
        <f t="shared" si="30"/>
        <v>0</v>
      </c>
      <c r="L120" s="125">
        <f t="shared" si="30"/>
        <v>0</v>
      </c>
      <c r="M120" s="495">
        <f t="shared" si="30"/>
        <v>3045000</v>
      </c>
      <c r="N120" s="92"/>
    </row>
    <row r="121" spans="1:14" ht="12">
      <c r="A121" s="17"/>
      <c r="B121" s="20"/>
      <c r="C121" s="16"/>
      <c r="D121" s="124"/>
      <c r="E121" s="124"/>
      <c r="F121" s="124"/>
      <c r="G121" s="124"/>
      <c r="H121" s="124"/>
      <c r="I121" s="124"/>
      <c r="J121" s="124"/>
      <c r="K121" s="124"/>
      <c r="L121" s="124"/>
      <c r="M121" s="494"/>
      <c r="N121" s="92"/>
    </row>
    <row r="122" spans="1:14" ht="12">
      <c r="A122" s="17"/>
      <c r="B122" s="20">
        <v>75405</v>
      </c>
      <c r="C122" s="16" t="s">
        <v>331</v>
      </c>
      <c r="D122" s="124">
        <f>SUM(E122+M122)</f>
        <v>65000</v>
      </c>
      <c r="E122" s="124">
        <f>SUM(F122:L122)</f>
        <v>65000</v>
      </c>
      <c r="F122" s="124"/>
      <c r="G122" s="124"/>
      <c r="H122" s="124">
        <f>55000+10000</f>
        <v>65000</v>
      </c>
      <c r="I122" s="124"/>
      <c r="J122" s="124"/>
      <c r="K122" s="124"/>
      <c r="L122" s="124"/>
      <c r="M122" s="494"/>
      <c r="N122" s="92"/>
    </row>
    <row r="123" spans="1:14" ht="12">
      <c r="A123" s="17"/>
      <c r="B123" s="20">
        <v>75412</v>
      </c>
      <c r="C123" s="16" t="s">
        <v>483</v>
      </c>
      <c r="D123" s="124">
        <f>SUM(E123+M123)</f>
        <v>3257000</v>
      </c>
      <c r="E123" s="124">
        <f>SUM(F123:L123)</f>
        <v>257000</v>
      </c>
      <c r="F123" s="124">
        <v>76000</v>
      </c>
      <c r="G123" s="124">
        <v>166000</v>
      </c>
      <c r="H123" s="124"/>
      <c r="I123" s="124">
        <v>15000</v>
      </c>
      <c r="J123" s="124"/>
      <c r="K123" s="124"/>
      <c r="L123" s="124"/>
      <c r="M123" s="494">
        <v>3000000</v>
      </c>
      <c r="N123" s="92"/>
    </row>
    <row r="124" spans="1:14" ht="12">
      <c r="A124" s="17"/>
      <c r="B124" s="20">
        <v>75416</v>
      </c>
      <c r="C124" s="16" t="s">
        <v>470</v>
      </c>
      <c r="D124" s="124">
        <f>SUM(E124+M124)</f>
        <v>833000</v>
      </c>
      <c r="E124" s="124">
        <f>SUM(F124:L124)</f>
        <v>833000</v>
      </c>
      <c r="F124" s="124">
        <v>686900</v>
      </c>
      <c r="G124" s="124">
        <v>106200</v>
      </c>
      <c r="H124" s="124"/>
      <c r="I124" s="124">
        <v>39900</v>
      </c>
      <c r="J124" s="124"/>
      <c r="K124" s="124"/>
      <c r="L124" s="124"/>
      <c r="M124" s="494"/>
      <c r="N124" s="92"/>
    </row>
    <row r="125" spans="1:14" ht="12.75" thickBot="1">
      <c r="A125" s="44"/>
      <c r="B125" s="46">
        <v>75495</v>
      </c>
      <c r="C125" s="45" t="s">
        <v>467</v>
      </c>
      <c r="D125" s="133">
        <f>SUM(E125+M125)</f>
        <v>231400</v>
      </c>
      <c r="E125" s="1301">
        <f>SUM(F125:L125)</f>
        <v>186400</v>
      </c>
      <c r="F125" s="132"/>
      <c r="G125" s="132">
        <v>186400</v>
      </c>
      <c r="H125" s="132"/>
      <c r="I125" s="132"/>
      <c r="J125" s="132"/>
      <c r="K125" s="132"/>
      <c r="L125" s="132"/>
      <c r="M125" s="497">
        <v>45000</v>
      </c>
      <c r="N125" s="92"/>
    </row>
    <row r="126" spans="1:14" ht="12.75" thickTop="1">
      <c r="A126" s="17"/>
      <c r="B126" s="20"/>
      <c r="C126" s="16"/>
      <c r="D126" s="124"/>
      <c r="E126" s="124"/>
      <c r="F126" s="124"/>
      <c r="G126" s="124"/>
      <c r="H126" s="124"/>
      <c r="I126" s="124"/>
      <c r="J126" s="124"/>
      <c r="K126" s="124"/>
      <c r="L126" s="124"/>
      <c r="M126" s="494"/>
      <c r="N126" s="92"/>
    </row>
    <row r="127" spans="1:14" ht="12">
      <c r="A127" s="17">
        <v>756</v>
      </c>
      <c r="B127" s="50"/>
      <c r="C127" s="16" t="s">
        <v>303</v>
      </c>
      <c r="D127" s="124"/>
      <c r="E127" s="124"/>
      <c r="F127" s="124"/>
      <c r="G127" s="124"/>
      <c r="H127" s="124"/>
      <c r="I127" s="124"/>
      <c r="J127" s="124"/>
      <c r="K127" s="124"/>
      <c r="L127" s="124"/>
      <c r="M127" s="494"/>
      <c r="N127" s="92"/>
    </row>
    <row r="128" spans="1:14" ht="12">
      <c r="A128" s="14"/>
      <c r="B128" s="50"/>
      <c r="C128" s="16" t="s">
        <v>304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494"/>
      <c r="N128" s="92"/>
    </row>
    <row r="129" spans="1:14" ht="12">
      <c r="A129" s="14"/>
      <c r="B129" s="50"/>
      <c r="C129" s="16" t="s">
        <v>301</v>
      </c>
      <c r="D129" s="124"/>
      <c r="E129" s="124"/>
      <c r="F129" s="124"/>
      <c r="G129" s="124"/>
      <c r="H129" s="124"/>
      <c r="I129" s="124"/>
      <c r="J129" s="124"/>
      <c r="K129" s="124"/>
      <c r="L129" s="124"/>
      <c r="M129" s="494"/>
      <c r="N129" s="92"/>
    </row>
    <row r="130" spans="1:14" ht="12">
      <c r="A130" s="14"/>
      <c r="B130" s="51"/>
      <c r="C130" s="21" t="s">
        <v>300</v>
      </c>
      <c r="D130" s="125">
        <f>SUM(D133)</f>
        <v>145800</v>
      </c>
      <c r="E130" s="125">
        <f aca="true" t="shared" si="31" ref="E130:M130">SUM(E133)</f>
        <v>145800</v>
      </c>
      <c r="F130" s="125">
        <f>SUM(F133)</f>
        <v>45000</v>
      </c>
      <c r="G130" s="125">
        <f>SUM(G133)</f>
        <v>100800</v>
      </c>
      <c r="H130" s="125">
        <f t="shared" si="31"/>
        <v>0</v>
      </c>
      <c r="I130" s="125">
        <f t="shared" si="31"/>
        <v>0</v>
      </c>
      <c r="J130" s="125">
        <f>SUM(J133)</f>
        <v>0</v>
      </c>
      <c r="K130" s="125">
        <f t="shared" si="31"/>
        <v>0</v>
      </c>
      <c r="L130" s="125">
        <f t="shared" si="31"/>
        <v>0</v>
      </c>
      <c r="M130" s="495">
        <f t="shared" si="31"/>
        <v>0</v>
      </c>
      <c r="N130" s="92"/>
    </row>
    <row r="131" spans="1:14" ht="12">
      <c r="A131" s="17"/>
      <c r="B131" s="20"/>
      <c r="C131" s="16"/>
      <c r="D131" s="124"/>
      <c r="E131" s="124"/>
      <c r="F131" s="124"/>
      <c r="G131" s="124"/>
      <c r="H131" s="124"/>
      <c r="I131" s="124"/>
      <c r="J131" s="124"/>
      <c r="K131" s="124"/>
      <c r="L131" s="124"/>
      <c r="M131" s="494"/>
      <c r="N131" s="92"/>
    </row>
    <row r="132" spans="1:14" ht="12">
      <c r="A132" s="17"/>
      <c r="B132" s="20">
        <v>75647</v>
      </c>
      <c r="C132" s="16" t="s">
        <v>311</v>
      </c>
      <c r="D132" s="124"/>
      <c r="E132" s="124"/>
      <c r="F132" s="124"/>
      <c r="G132" s="124"/>
      <c r="H132" s="124"/>
      <c r="I132" s="124"/>
      <c r="J132" s="124"/>
      <c r="K132" s="124"/>
      <c r="L132" s="124"/>
      <c r="M132" s="494"/>
      <c r="N132" s="92"/>
    </row>
    <row r="133" spans="1:14" ht="12.75" thickBot="1">
      <c r="A133" s="44"/>
      <c r="B133" s="46"/>
      <c r="C133" s="45" t="s">
        <v>312</v>
      </c>
      <c r="D133" s="132">
        <f>SUM(E133+M133)</f>
        <v>145800</v>
      </c>
      <c r="E133" s="1301">
        <f>SUM(F133:L133)</f>
        <v>145800</v>
      </c>
      <c r="F133" s="132">
        <v>45000</v>
      </c>
      <c r="G133" s="132">
        <v>100800</v>
      </c>
      <c r="H133" s="132"/>
      <c r="I133" s="132"/>
      <c r="J133" s="132"/>
      <c r="K133" s="132"/>
      <c r="L133" s="132"/>
      <c r="M133" s="497"/>
      <c r="N133" s="92"/>
    </row>
    <row r="134" spans="1:14" ht="12.75" thickTop="1">
      <c r="A134" s="17"/>
      <c r="B134" s="20"/>
      <c r="C134" s="16"/>
      <c r="D134" s="124"/>
      <c r="E134" s="124"/>
      <c r="F134" s="124"/>
      <c r="G134" s="124"/>
      <c r="H134" s="124"/>
      <c r="I134" s="124"/>
      <c r="J134" s="124"/>
      <c r="K134" s="124"/>
      <c r="L134" s="124"/>
      <c r="M134" s="494"/>
      <c r="N134" s="92"/>
    </row>
    <row r="135" spans="1:14" ht="12">
      <c r="A135" s="17">
        <v>757</v>
      </c>
      <c r="B135" s="42"/>
      <c r="C135" s="21" t="s">
        <v>87</v>
      </c>
      <c r="D135" s="125">
        <f>SUM(D138)</f>
        <v>2065000</v>
      </c>
      <c r="E135" s="125">
        <f aca="true" t="shared" si="32" ref="E135:M135">SUM(E138)</f>
        <v>2065000</v>
      </c>
      <c r="F135" s="125">
        <f>SUM(F138)</f>
        <v>0</v>
      </c>
      <c r="G135" s="125">
        <f>SUM(G138)</f>
        <v>0</v>
      </c>
      <c r="H135" s="125">
        <f t="shared" si="32"/>
        <v>0</v>
      </c>
      <c r="I135" s="125">
        <f t="shared" si="32"/>
        <v>0</v>
      </c>
      <c r="J135" s="125">
        <f>SUM(J138)</f>
        <v>0</v>
      </c>
      <c r="K135" s="125">
        <f t="shared" si="32"/>
        <v>2065000</v>
      </c>
      <c r="L135" s="125">
        <f t="shared" si="32"/>
        <v>0</v>
      </c>
      <c r="M135" s="495">
        <f t="shared" si="32"/>
        <v>0</v>
      </c>
      <c r="N135" s="92"/>
    </row>
    <row r="136" spans="1:14" ht="12">
      <c r="A136" s="17"/>
      <c r="B136" s="20"/>
      <c r="C136" s="16"/>
      <c r="D136" s="124"/>
      <c r="E136" s="124"/>
      <c r="F136" s="124"/>
      <c r="G136" s="124"/>
      <c r="H136" s="124"/>
      <c r="I136" s="124"/>
      <c r="J136" s="124"/>
      <c r="K136" s="124"/>
      <c r="L136" s="124"/>
      <c r="M136" s="494"/>
      <c r="N136" s="92"/>
    </row>
    <row r="137" spans="1:14" ht="12">
      <c r="A137" s="17"/>
      <c r="B137" s="20">
        <v>75702</v>
      </c>
      <c r="C137" s="16" t="s">
        <v>95</v>
      </c>
      <c r="D137" s="124"/>
      <c r="E137" s="124"/>
      <c r="F137" s="124"/>
      <c r="G137" s="124"/>
      <c r="H137" s="124"/>
      <c r="I137" s="124"/>
      <c r="J137" s="124"/>
      <c r="K137" s="124"/>
      <c r="L137" s="124"/>
      <c r="M137" s="494"/>
      <c r="N137" s="92"/>
    </row>
    <row r="138" spans="1:14" ht="12.75" thickBot="1">
      <c r="A138" s="44"/>
      <c r="B138" s="46"/>
      <c r="C138" s="45" t="s">
        <v>96</v>
      </c>
      <c r="D138" s="132">
        <f>SUM(E138+M138)</f>
        <v>2065000</v>
      </c>
      <c r="E138" s="1301">
        <f>SUM(F138:L138)</f>
        <v>2065000</v>
      </c>
      <c r="F138" s="132"/>
      <c r="G138" s="132"/>
      <c r="H138" s="132"/>
      <c r="I138" s="132"/>
      <c r="J138" s="132"/>
      <c r="K138" s="132">
        <v>2065000</v>
      </c>
      <c r="L138" s="132"/>
      <c r="M138" s="497"/>
      <c r="N138" s="92"/>
    </row>
    <row r="139" spans="1:14" ht="12.75" thickTop="1">
      <c r="A139" s="17"/>
      <c r="B139" s="20"/>
      <c r="C139" s="16"/>
      <c r="D139" s="124"/>
      <c r="E139" s="124"/>
      <c r="F139" s="124"/>
      <c r="G139" s="124"/>
      <c r="H139" s="124"/>
      <c r="I139" s="124"/>
      <c r="J139" s="124"/>
      <c r="K139" s="124"/>
      <c r="L139" s="124"/>
      <c r="M139" s="494"/>
      <c r="N139" s="92"/>
    </row>
    <row r="140" spans="1:14" ht="12">
      <c r="A140" s="17">
        <v>758</v>
      </c>
      <c r="B140" s="42"/>
      <c r="C140" s="21" t="s">
        <v>450</v>
      </c>
      <c r="D140" s="125">
        <f aca="true" t="shared" si="33" ref="D140:M140">SUM(D142:D142)</f>
        <v>603770</v>
      </c>
      <c r="E140" s="125">
        <f t="shared" si="33"/>
        <v>553770</v>
      </c>
      <c r="F140" s="125">
        <f>SUM(F142:F142)</f>
        <v>0</v>
      </c>
      <c r="G140" s="125">
        <f>SUM(G142:G142)</f>
        <v>553770</v>
      </c>
      <c r="H140" s="125">
        <f t="shared" si="33"/>
        <v>0</v>
      </c>
      <c r="I140" s="125">
        <f t="shared" si="33"/>
        <v>0</v>
      </c>
      <c r="J140" s="125">
        <f>SUM(J142:J142)</f>
        <v>0</v>
      </c>
      <c r="K140" s="125">
        <f t="shared" si="33"/>
        <v>0</v>
      </c>
      <c r="L140" s="125">
        <f t="shared" si="33"/>
        <v>0</v>
      </c>
      <c r="M140" s="495">
        <f t="shared" si="33"/>
        <v>50000</v>
      </c>
      <c r="N140" s="92"/>
    </row>
    <row r="141" spans="1:14" ht="12">
      <c r="A141" s="17"/>
      <c r="B141" s="20"/>
      <c r="C141" s="16"/>
      <c r="D141" s="124"/>
      <c r="E141" s="124"/>
      <c r="F141" s="124"/>
      <c r="G141" s="124"/>
      <c r="H141" s="124"/>
      <c r="I141" s="124"/>
      <c r="J141" s="124"/>
      <c r="K141" s="124"/>
      <c r="L141" s="124"/>
      <c r="M141" s="494"/>
      <c r="N141" s="92"/>
    </row>
    <row r="142" spans="1:14" ht="12.75" thickBot="1">
      <c r="A142" s="44"/>
      <c r="B142" s="46">
        <v>75818</v>
      </c>
      <c r="C142" s="702" t="s">
        <v>353</v>
      </c>
      <c r="D142" s="133">
        <f>SUM(E142+M142)</f>
        <v>603770</v>
      </c>
      <c r="E142" s="1301">
        <f>SUM(F142:L142)</f>
        <v>553770</v>
      </c>
      <c r="F142" s="132"/>
      <c r="G142" s="132">
        <f>453770+250000-150000</f>
        <v>553770</v>
      </c>
      <c r="H142" s="132"/>
      <c r="I142" s="132"/>
      <c r="J142" s="132"/>
      <c r="K142" s="132"/>
      <c r="L142" s="132"/>
      <c r="M142" s="497">
        <f>150000-100000</f>
        <v>50000</v>
      </c>
      <c r="N142" s="92"/>
    </row>
    <row r="143" spans="1:14" ht="12.75" thickTop="1">
      <c r="A143" s="1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527"/>
      <c r="N143" s="92"/>
    </row>
    <row r="144" spans="1:14" ht="12">
      <c r="A144" s="17">
        <v>801</v>
      </c>
      <c r="B144" s="42"/>
      <c r="C144" s="21" t="s">
        <v>451</v>
      </c>
      <c r="D144" s="125">
        <f>SUM(D146:D154)</f>
        <v>37028472</v>
      </c>
      <c r="E144" s="125">
        <f aca="true" t="shared" si="34" ref="E144:M144">SUM(E146:E154)</f>
        <v>35759272</v>
      </c>
      <c r="F144" s="125">
        <f>SUM(F146:F154)</f>
        <v>98900</v>
      </c>
      <c r="G144" s="125">
        <f>SUM(G146:G154)</f>
        <v>585600</v>
      </c>
      <c r="H144" s="125">
        <f t="shared" si="34"/>
        <v>34899841</v>
      </c>
      <c r="I144" s="125">
        <f t="shared" si="34"/>
        <v>35900</v>
      </c>
      <c r="J144" s="125">
        <f>SUM(J146:J154)</f>
        <v>139031</v>
      </c>
      <c r="K144" s="125">
        <f t="shared" si="34"/>
        <v>0</v>
      </c>
      <c r="L144" s="125">
        <f t="shared" si="34"/>
        <v>0</v>
      </c>
      <c r="M144" s="495">
        <f t="shared" si="34"/>
        <v>1269200</v>
      </c>
      <c r="N144" s="92"/>
    </row>
    <row r="145" spans="1:14" ht="12">
      <c r="A145" s="17"/>
      <c r="B145" s="20"/>
      <c r="C145" s="16"/>
      <c r="D145" s="124"/>
      <c r="E145" s="124"/>
      <c r="F145" s="124"/>
      <c r="G145" s="124"/>
      <c r="H145" s="124"/>
      <c r="I145" s="124"/>
      <c r="J145" s="124"/>
      <c r="K145" s="124"/>
      <c r="L145" s="124"/>
      <c r="M145" s="494"/>
      <c r="N145" s="92"/>
    </row>
    <row r="146" spans="1:14" ht="12" customHeight="1">
      <c r="A146" s="17"/>
      <c r="B146" s="20">
        <v>80101</v>
      </c>
      <c r="C146" s="16" t="s">
        <v>472</v>
      </c>
      <c r="D146" s="124">
        <f>SUM(E146+M146)</f>
        <v>17570841</v>
      </c>
      <c r="E146" s="124">
        <f aca="true" t="shared" si="35" ref="E146:E153">SUM(F146:L146)</f>
        <v>17570841</v>
      </c>
      <c r="F146" s="124"/>
      <c r="G146" s="124"/>
      <c r="H146" s="124">
        <f>17583672-12831</f>
        <v>17570841</v>
      </c>
      <c r="I146" s="124"/>
      <c r="J146" s="124"/>
      <c r="K146" s="124"/>
      <c r="L146" s="124"/>
      <c r="M146" s="494"/>
      <c r="N146" s="92"/>
    </row>
    <row r="147" spans="1:14" ht="12">
      <c r="A147" s="17"/>
      <c r="B147" s="20">
        <v>80103</v>
      </c>
      <c r="C147" s="16" t="s">
        <v>438</v>
      </c>
      <c r="D147" s="124">
        <f aca="true" t="shared" si="36" ref="D147:D154">SUM(E147+M147)</f>
        <v>562500</v>
      </c>
      <c r="E147" s="124">
        <f t="shared" si="35"/>
        <v>562500</v>
      </c>
      <c r="F147" s="124"/>
      <c r="G147" s="124"/>
      <c r="H147" s="124">
        <f>520000+42500</f>
        <v>562500</v>
      </c>
      <c r="I147" s="124"/>
      <c r="J147" s="124"/>
      <c r="K147" s="124"/>
      <c r="L147" s="124"/>
      <c r="M147" s="494"/>
      <c r="N147" s="92"/>
    </row>
    <row r="148" spans="1:14" ht="12">
      <c r="A148" s="17"/>
      <c r="B148" s="20">
        <v>80104</v>
      </c>
      <c r="C148" s="16" t="s">
        <v>106</v>
      </c>
      <c r="D148" s="124">
        <f t="shared" si="36"/>
        <v>9170831</v>
      </c>
      <c r="E148" s="124">
        <f t="shared" si="35"/>
        <v>7901631</v>
      </c>
      <c r="F148" s="124"/>
      <c r="G148" s="124"/>
      <c r="H148" s="124">
        <f>7571000+200000</f>
        <v>7771000</v>
      </c>
      <c r="I148" s="124"/>
      <c r="J148" s="124">
        <v>130631</v>
      </c>
      <c r="K148" s="124"/>
      <c r="L148" s="124"/>
      <c r="M148" s="494">
        <f>1250000+19200</f>
        <v>1269200</v>
      </c>
      <c r="N148" s="215"/>
    </row>
    <row r="149" spans="1:14" ht="12">
      <c r="A149" s="17"/>
      <c r="B149" s="20">
        <v>80105</v>
      </c>
      <c r="C149" s="16" t="s">
        <v>107</v>
      </c>
      <c r="D149" s="124">
        <f t="shared" si="36"/>
        <v>32000</v>
      </c>
      <c r="E149" s="124">
        <f t="shared" si="35"/>
        <v>32000</v>
      </c>
      <c r="F149" s="124"/>
      <c r="G149" s="124"/>
      <c r="H149" s="124">
        <v>32000</v>
      </c>
      <c r="I149" s="124"/>
      <c r="J149" s="124"/>
      <c r="K149" s="124"/>
      <c r="L149" s="124"/>
      <c r="M149" s="494"/>
      <c r="N149" s="92"/>
    </row>
    <row r="150" spans="1:14" ht="12">
      <c r="A150" s="17"/>
      <c r="B150" s="20">
        <v>80110</v>
      </c>
      <c r="C150" s="16" t="s">
        <v>473</v>
      </c>
      <c r="D150" s="124">
        <f t="shared" si="36"/>
        <v>8716400</v>
      </c>
      <c r="E150" s="124">
        <f t="shared" si="35"/>
        <v>8716400</v>
      </c>
      <c r="F150" s="124"/>
      <c r="G150" s="124"/>
      <c r="H150" s="124">
        <f>8798000-90000</f>
        <v>8708000</v>
      </c>
      <c r="I150" s="124"/>
      <c r="J150" s="124">
        <v>8400</v>
      </c>
      <c r="K150" s="124"/>
      <c r="L150" s="124"/>
      <c r="M150" s="494"/>
      <c r="N150" s="216"/>
    </row>
    <row r="151" spans="1:14" s="29" customFormat="1" ht="12">
      <c r="A151" s="17" t="s">
        <v>419</v>
      </c>
      <c r="B151" s="20">
        <v>80113</v>
      </c>
      <c r="C151" s="16" t="s">
        <v>97</v>
      </c>
      <c r="D151" s="124">
        <f t="shared" si="36"/>
        <v>460100</v>
      </c>
      <c r="E151" s="124">
        <f t="shared" si="35"/>
        <v>460100</v>
      </c>
      <c r="F151" s="124">
        <v>72000</v>
      </c>
      <c r="G151" s="124">
        <v>388100</v>
      </c>
      <c r="H151" s="124"/>
      <c r="I151" s="124"/>
      <c r="J151" s="124"/>
      <c r="K151" s="124"/>
      <c r="L151" s="124"/>
      <c r="M151" s="494"/>
      <c r="N151" s="92"/>
    </row>
    <row r="152" spans="1:14" ht="12">
      <c r="A152" s="17"/>
      <c r="B152" s="20">
        <v>80146</v>
      </c>
      <c r="C152" s="16" t="s">
        <v>172</v>
      </c>
      <c r="D152" s="124">
        <f t="shared" si="36"/>
        <v>179200</v>
      </c>
      <c r="E152" s="124">
        <f t="shared" si="35"/>
        <v>179200</v>
      </c>
      <c r="F152" s="124"/>
      <c r="G152" s="124"/>
      <c r="H152" s="124">
        <v>179200</v>
      </c>
      <c r="I152" s="124"/>
      <c r="J152" s="124"/>
      <c r="K152" s="124"/>
      <c r="L152" s="124"/>
      <c r="M152" s="494"/>
      <c r="N152" s="92"/>
    </row>
    <row r="153" spans="1:14" ht="12">
      <c r="A153" s="17"/>
      <c r="B153" s="20">
        <v>80148</v>
      </c>
      <c r="C153" s="16" t="s">
        <v>325</v>
      </c>
      <c r="D153" s="124">
        <f t="shared" si="36"/>
        <v>76300</v>
      </c>
      <c r="E153" s="124">
        <f t="shared" si="35"/>
        <v>76300</v>
      </c>
      <c r="F153" s="124"/>
      <c r="G153" s="124"/>
      <c r="H153" s="124">
        <v>76300</v>
      </c>
      <c r="I153" s="124"/>
      <c r="J153" s="124"/>
      <c r="K153" s="124"/>
      <c r="L153" s="124"/>
      <c r="M153" s="494"/>
      <c r="N153" s="92"/>
    </row>
    <row r="154" spans="1:14" ht="12.75" thickBot="1">
      <c r="A154" s="44"/>
      <c r="B154" s="46">
        <v>80195</v>
      </c>
      <c r="C154" s="45" t="s">
        <v>467</v>
      </c>
      <c r="D154" s="132">
        <f t="shared" si="36"/>
        <v>260300</v>
      </c>
      <c r="E154" s="1301">
        <f>SUM(F154:L154)</f>
        <v>260300</v>
      </c>
      <c r="F154" s="132">
        <v>26900</v>
      </c>
      <c r="G154" s="132">
        <v>197500</v>
      </c>
      <c r="H154" s="132"/>
      <c r="I154" s="132">
        <v>35900</v>
      </c>
      <c r="J154" s="132"/>
      <c r="K154" s="132"/>
      <c r="L154" s="132"/>
      <c r="M154" s="497"/>
      <c r="N154" s="92"/>
    </row>
    <row r="155" spans="1:14" ht="12.75" thickTop="1">
      <c r="A155" s="17"/>
      <c r="B155" s="20"/>
      <c r="C155" s="16"/>
      <c r="D155" s="124"/>
      <c r="E155" s="124"/>
      <c r="F155" s="124"/>
      <c r="G155" s="124"/>
      <c r="H155" s="124"/>
      <c r="I155" s="124"/>
      <c r="J155" s="124"/>
      <c r="K155" s="124"/>
      <c r="L155" s="124"/>
      <c r="M155" s="494"/>
      <c r="N155" s="92"/>
    </row>
    <row r="156" spans="1:14" ht="12">
      <c r="A156" s="17">
        <v>851</v>
      </c>
      <c r="B156" s="42"/>
      <c r="C156" s="21" t="s">
        <v>452</v>
      </c>
      <c r="D156" s="125">
        <f aca="true" t="shared" si="37" ref="D156:M156">SUM(D158:D161)</f>
        <v>1614269</v>
      </c>
      <c r="E156" s="125">
        <f t="shared" si="37"/>
        <v>1614269</v>
      </c>
      <c r="F156" s="125">
        <f>SUM(F158:F161)</f>
        <v>367750</v>
      </c>
      <c r="G156" s="125">
        <f>SUM(G158:G161)</f>
        <v>1092869</v>
      </c>
      <c r="H156" s="125">
        <f t="shared" si="37"/>
        <v>153650</v>
      </c>
      <c r="I156" s="125">
        <f t="shared" si="37"/>
        <v>0</v>
      </c>
      <c r="J156" s="125">
        <f>SUM(J158:J161)</f>
        <v>0</v>
      </c>
      <c r="K156" s="125">
        <f t="shared" si="37"/>
        <v>0</v>
      </c>
      <c r="L156" s="125">
        <f t="shared" si="37"/>
        <v>0</v>
      </c>
      <c r="M156" s="495">
        <f t="shared" si="37"/>
        <v>0</v>
      </c>
      <c r="N156" s="92"/>
    </row>
    <row r="157" spans="1:14" ht="12">
      <c r="A157" s="17"/>
      <c r="B157" s="20"/>
      <c r="C157" s="16"/>
      <c r="D157" s="124"/>
      <c r="E157" s="124"/>
      <c r="F157" s="124"/>
      <c r="G157" s="124"/>
      <c r="H157" s="124"/>
      <c r="I157" s="124"/>
      <c r="J157" s="124"/>
      <c r="K157" s="124"/>
      <c r="L157" s="124"/>
      <c r="M157" s="494"/>
      <c r="N157" s="92"/>
    </row>
    <row r="158" spans="1:14" ht="12">
      <c r="A158" s="17"/>
      <c r="B158" s="20">
        <v>85149</v>
      </c>
      <c r="C158" s="16" t="s">
        <v>354</v>
      </c>
      <c r="D158" s="124">
        <f>SUM(E158+M158)</f>
        <v>907600</v>
      </c>
      <c r="E158" s="124">
        <f>SUM(F158:L158)</f>
        <v>907600</v>
      </c>
      <c r="F158" s="124"/>
      <c r="G158" s="124">
        <f>70000+300000+537600</f>
        <v>907600</v>
      </c>
      <c r="H158" s="124"/>
      <c r="I158" s="124"/>
      <c r="J158" s="124"/>
      <c r="K158" s="124"/>
      <c r="L158" s="124"/>
      <c r="M158" s="494"/>
      <c r="N158" s="92"/>
    </row>
    <row r="159" spans="1:14" ht="12">
      <c r="A159" s="17"/>
      <c r="B159" s="20">
        <v>85153</v>
      </c>
      <c r="C159" s="16" t="s">
        <v>19</v>
      </c>
      <c r="D159" s="124">
        <f>SUM(E159+M159)</f>
        <v>29600</v>
      </c>
      <c r="E159" s="124">
        <f>SUM(F159:L159)</f>
        <v>29600</v>
      </c>
      <c r="F159" s="124"/>
      <c r="G159" s="124">
        <v>29600</v>
      </c>
      <c r="H159" s="124"/>
      <c r="I159" s="124"/>
      <c r="J159" s="124"/>
      <c r="K159" s="124"/>
      <c r="L159" s="48"/>
      <c r="M159" s="294"/>
      <c r="N159" s="92"/>
    </row>
    <row r="160" spans="1:14" ht="12">
      <c r="A160" s="17"/>
      <c r="B160" s="20">
        <v>85154</v>
      </c>
      <c r="C160" s="54" t="s">
        <v>98</v>
      </c>
      <c r="D160" s="124">
        <f>SUM(E160+M160)</f>
        <v>633369</v>
      </c>
      <c r="E160" s="124">
        <f>SUM(F160:L160)</f>
        <v>633369</v>
      </c>
      <c r="F160" s="48">
        <v>367750</v>
      </c>
      <c r="G160" s="48">
        <v>155619</v>
      </c>
      <c r="H160" s="1032">
        <v>110000</v>
      </c>
      <c r="I160" s="1032"/>
      <c r="J160" s="987"/>
      <c r="K160" s="48"/>
      <c r="L160" s="48"/>
      <c r="M160" s="294"/>
      <c r="N160" s="92"/>
    </row>
    <row r="161" spans="1:14" ht="12.75" thickBot="1">
      <c r="A161" s="44"/>
      <c r="B161" s="46">
        <v>85195</v>
      </c>
      <c r="C161" s="45" t="s">
        <v>467</v>
      </c>
      <c r="D161" s="133">
        <f>SUM(E161+M161)</f>
        <v>43700</v>
      </c>
      <c r="E161" s="132">
        <f>SUM(F161:L161)</f>
        <v>43700</v>
      </c>
      <c r="F161" s="132"/>
      <c r="G161" s="132">
        <v>50</v>
      </c>
      <c r="H161" s="132">
        <v>43650</v>
      </c>
      <c r="I161" s="132"/>
      <c r="J161" s="132"/>
      <c r="K161" s="132"/>
      <c r="L161" s="132"/>
      <c r="M161" s="497"/>
      <c r="N161" s="92"/>
    </row>
    <row r="162" spans="1:14" ht="12.75" thickTop="1">
      <c r="A162" s="441">
        <v>1</v>
      </c>
      <c r="B162" s="446">
        <v>2</v>
      </c>
      <c r="C162" s="446">
        <v>3</v>
      </c>
      <c r="D162" s="447">
        <v>4</v>
      </c>
      <c r="E162" s="447">
        <v>5</v>
      </c>
      <c r="F162" s="447">
        <v>6</v>
      </c>
      <c r="G162" s="447">
        <v>7</v>
      </c>
      <c r="H162" s="447">
        <v>8</v>
      </c>
      <c r="I162" s="447">
        <v>9</v>
      </c>
      <c r="J162" s="447">
        <v>10</v>
      </c>
      <c r="K162" s="447">
        <v>11</v>
      </c>
      <c r="L162" s="447">
        <v>12</v>
      </c>
      <c r="M162" s="524">
        <v>13</v>
      </c>
      <c r="N162" s="92"/>
    </row>
    <row r="163" spans="1:14" s="57" customFormat="1" ht="12">
      <c r="A163" s="1302"/>
      <c r="B163" s="1303"/>
      <c r="C163" s="1303"/>
      <c r="D163" s="1304"/>
      <c r="E163" s="1304"/>
      <c r="F163" s="1304"/>
      <c r="G163" s="1304"/>
      <c r="H163" s="1304"/>
      <c r="I163" s="1304"/>
      <c r="J163" s="1304"/>
      <c r="K163" s="1304"/>
      <c r="L163" s="1304"/>
      <c r="M163" s="1305"/>
      <c r="N163" s="1306"/>
    </row>
    <row r="164" spans="1:14" ht="12">
      <c r="A164" s="17">
        <v>852</v>
      </c>
      <c r="B164" s="42"/>
      <c r="C164" s="21" t="s">
        <v>297</v>
      </c>
      <c r="D164" s="125">
        <f aca="true" t="shared" si="38" ref="D164:L164">SUM(D165:D178)</f>
        <v>8458060</v>
      </c>
      <c r="E164" s="125">
        <f t="shared" si="38"/>
        <v>8458060</v>
      </c>
      <c r="F164" s="125">
        <f t="shared" si="38"/>
        <v>3051100</v>
      </c>
      <c r="G164" s="125">
        <f t="shared" si="38"/>
        <v>1319000</v>
      </c>
      <c r="H164" s="125">
        <f t="shared" si="38"/>
        <v>45000</v>
      </c>
      <c r="I164" s="125">
        <f t="shared" si="38"/>
        <v>4042960</v>
      </c>
      <c r="J164" s="125">
        <f t="shared" si="38"/>
        <v>0</v>
      </c>
      <c r="K164" s="125">
        <f t="shared" si="38"/>
        <v>0</v>
      </c>
      <c r="L164" s="125">
        <f t="shared" si="38"/>
        <v>0</v>
      </c>
      <c r="M164" s="495">
        <f>SUM(M166:M178)</f>
        <v>0</v>
      </c>
      <c r="N164" s="92"/>
    </row>
    <row r="165" spans="1:14" ht="12">
      <c r="A165" s="17"/>
      <c r="B165" s="20"/>
      <c r="C165" s="16"/>
      <c r="D165" s="124"/>
      <c r="E165" s="124"/>
      <c r="F165" s="124"/>
      <c r="G165" s="124"/>
      <c r="H165" s="124"/>
      <c r="I165" s="124"/>
      <c r="J165" s="124"/>
      <c r="K165" s="124"/>
      <c r="L165" s="124"/>
      <c r="M165" s="494"/>
      <c r="N165" s="92"/>
    </row>
    <row r="166" spans="1:14" ht="12">
      <c r="A166" s="17"/>
      <c r="B166" s="20">
        <v>85205</v>
      </c>
      <c r="C166" s="2" t="s">
        <v>59</v>
      </c>
      <c r="D166" s="124">
        <f>SUM(E166+M166)</f>
        <v>58000</v>
      </c>
      <c r="E166" s="124">
        <f>SUM(F166:L166)</f>
        <v>58000</v>
      </c>
      <c r="F166" s="124">
        <v>58000</v>
      </c>
      <c r="G166" s="124"/>
      <c r="H166" s="124"/>
      <c r="I166" s="124"/>
      <c r="J166" s="124"/>
      <c r="K166" s="124"/>
      <c r="L166" s="124"/>
      <c r="M166" s="494"/>
      <c r="N166" s="92"/>
    </row>
    <row r="167" spans="1:14" ht="12">
      <c r="A167" s="17"/>
      <c r="B167" s="499">
        <v>85213</v>
      </c>
      <c r="C167" s="500" t="s">
        <v>359</v>
      </c>
      <c r="D167" s="124"/>
      <c r="E167" s="124"/>
      <c r="F167" s="124"/>
      <c r="G167" s="124"/>
      <c r="H167" s="124"/>
      <c r="I167" s="124"/>
      <c r="J167" s="124"/>
      <c r="K167" s="124"/>
      <c r="L167" s="124"/>
      <c r="M167" s="494"/>
      <c r="N167" s="92"/>
    </row>
    <row r="168" spans="1:14" ht="12">
      <c r="A168" s="17"/>
      <c r="B168" s="499"/>
      <c r="C168" s="500" t="s">
        <v>326</v>
      </c>
      <c r="D168" s="124"/>
      <c r="E168" s="124"/>
      <c r="F168" s="124"/>
      <c r="G168" s="124"/>
      <c r="H168" s="124"/>
      <c r="I168" s="124"/>
      <c r="J168" s="124"/>
      <c r="K168" s="124"/>
      <c r="L168" s="124"/>
      <c r="M168" s="494"/>
      <c r="N168" s="92"/>
    </row>
    <row r="169" spans="1:14" ht="12">
      <c r="A169" s="17"/>
      <c r="B169" s="499"/>
      <c r="C169" s="500" t="s">
        <v>327</v>
      </c>
      <c r="D169" s="124"/>
      <c r="E169" s="124"/>
      <c r="F169" s="124"/>
      <c r="G169" s="124"/>
      <c r="H169" s="124"/>
      <c r="I169" s="124"/>
      <c r="J169" s="124"/>
      <c r="K169" s="124"/>
      <c r="L169" s="124"/>
      <c r="M169" s="494"/>
      <c r="N169" s="92"/>
    </row>
    <row r="170" spans="1:14" ht="12">
      <c r="A170" s="17"/>
      <c r="B170" s="499"/>
      <c r="C170" s="500" t="s">
        <v>328</v>
      </c>
      <c r="D170" s="995">
        <f>SUM(E170+M170)</f>
        <v>84000</v>
      </c>
      <c r="E170" s="124">
        <f>SUM(F170:L170)</f>
        <v>84000</v>
      </c>
      <c r="F170" s="124"/>
      <c r="G170" s="124">
        <v>84000</v>
      </c>
      <c r="H170" s="124"/>
      <c r="I170" s="124"/>
      <c r="J170" s="124"/>
      <c r="K170" s="124"/>
      <c r="L170" s="124"/>
      <c r="M170" s="494"/>
      <c r="N170" s="92"/>
    </row>
    <row r="171" spans="1:14" s="817" customFormat="1" ht="12">
      <c r="A171" s="1011"/>
      <c r="B171" s="1027">
        <v>85214</v>
      </c>
      <c r="C171" s="991" t="s">
        <v>103</v>
      </c>
      <c r="D171" s="995"/>
      <c r="E171" s="995"/>
      <c r="F171" s="995"/>
      <c r="G171" s="995"/>
      <c r="H171" s="995"/>
      <c r="I171" s="995"/>
      <c r="J171" s="995"/>
      <c r="K171" s="995"/>
      <c r="L171" s="995"/>
      <c r="M171" s="992"/>
      <c r="N171" s="816"/>
    </row>
    <row r="172" spans="1:14" ht="12">
      <c r="A172" s="17"/>
      <c r="B172" s="20"/>
      <c r="C172" s="16" t="s">
        <v>329</v>
      </c>
      <c r="D172" s="124">
        <f>SUM(E172+M172)</f>
        <v>1951000</v>
      </c>
      <c r="E172" s="124">
        <f>SUM(F172:L172)</f>
        <v>1951000</v>
      </c>
      <c r="F172" s="730"/>
      <c r="G172" s="995">
        <v>681000</v>
      </c>
      <c r="H172" s="124"/>
      <c r="I172" s="995">
        <v>1270000</v>
      </c>
      <c r="J172" s="124"/>
      <c r="K172" s="124"/>
      <c r="L172" s="124"/>
      <c r="M172" s="494"/>
      <c r="N172" s="92"/>
    </row>
    <row r="173" spans="1:14" ht="12">
      <c r="A173" s="17"/>
      <c r="B173" s="20">
        <v>85215</v>
      </c>
      <c r="C173" s="16" t="s">
        <v>474</v>
      </c>
      <c r="D173" s="124">
        <f>SUM(E173+M173)</f>
        <v>1000000</v>
      </c>
      <c r="E173" s="124">
        <f>SUM(F173:L173)</f>
        <v>1000000</v>
      </c>
      <c r="F173" s="124"/>
      <c r="G173" s="124"/>
      <c r="H173" s="124"/>
      <c r="I173" s="124">
        <v>1000000</v>
      </c>
      <c r="J173" s="124"/>
      <c r="K173" s="124"/>
      <c r="L173" s="124"/>
      <c r="M173" s="494"/>
      <c r="N173" s="92"/>
    </row>
    <row r="174" spans="1:14" ht="12">
      <c r="A174" s="17"/>
      <c r="B174" s="20">
        <v>85216</v>
      </c>
      <c r="C174" s="2" t="s">
        <v>56</v>
      </c>
      <c r="D174" s="124">
        <f>SUM(E174+M174)</f>
        <v>959000</v>
      </c>
      <c r="E174" s="124">
        <f>SUM(F174:L174)</f>
        <v>959000</v>
      </c>
      <c r="F174" s="124"/>
      <c r="G174" s="124"/>
      <c r="H174" s="124"/>
      <c r="I174" s="124">
        <v>959000</v>
      </c>
      <c r="J174" s="124"/>
      <c r="K174" s="124"/>
      <c r="L174" s="124"/>
      <c r="M174" s="494"/>
      <c r="N174" s="92"/>
    </row>
    <row r="175" spans="1:14" ht="12">
      <c r="A175" s="17"/>
      <c r="B175" s="20">
        <v>85219</v>
      </c>
      <c r="C175" s="16" t="s">
        <v>355</v>
      </c>
      <c r="D175" s="124">
        <f>SUM(E175+M175)</f>
        <v>2414100</v>
      </c>
      <c r="E175" s="124">
        <f>SUM(F175:L175)</f>
        <v>2414100</v>
      </c>
      <c r="F175" s="124">
        <v>2017500</v>
      </c>
      <c r="G175" s="124">
        <v>380600</v>
      </c>
      <c r="H175" s="124"/>
      <c r="I175" s="124">
        <v>16000</v>
      </c>
      <c r="J175" s="124"/>
      <c r="K175" s="124"/>
      <c r="L175" s="124"/>
      <c r="M175" s="494"/>
      <c r="N175" s="92"/>
    </row>
    <row r="176" spans="1:14" ht="12">
      <c r="A176" s="17"/>
      <c r="B176" s="20">
        <v>85228</v>
      </c>
      <c r="C176" s="16" t="s">
        <v>104</v>
      </c>
      <c r="D176" s="124"/>
      <c r="E176" s="124"/>
      <c r="F176" s="124"/>
      <c r="G176" s="124"/>
      <c r="H176" s="124"/>
      <c r="I176" s="124"/>
      <c r="J176" s="124"/>
      <c r="K176" s="124"/>
      <c r="L176" s="124"/>
      <c r="M176" s="494"/>
      <c r="N176" s="92"/>
    </row>
    <row r="177" spans="1:14" ht="12">
      <c r="A177" s="17"/>
      <c r="B177" s="20"/>
      <c r="C177" s="16" t="s">
        <v>105</v>
      </c>
      <c r="D177" s="124">
        <f>SUM(E177+M177)</f>
        <v>1087000</v>
      </c>
      <c r="E177" s="124">
        <f>SUM(F177:L177)</f>
        <v>1087000</v>
      </c>
      <c r="F177" s="124">
        <v>971000</v>
      </c>
      <c r="G177" s="124">
        <v>86000</v>
      </c>
      <c r="H177" s="124"/>
      <c r="I177" s="124">
        <v>30000</v>
      </c>
      <c r="J177" s="124"/>
      <c r="K177" s="124"/>
      <c r="L177" s="124"/>
      <c r="M177" s="494"/>
      <c r="N177" s="92"/>
    </row>
    <row r="178" spans="1:14" ht="12.75" thickBot="1">
      <c r="A178" s="44"/>
      <c r="B178" s="46">
        <v>85295</v>
      </c>
      <c r="C178" s="45" t="s">
        <v>467</v>
      </c>
      <c r="D178" s="133">
        <f>SUM(E178+M178)</f>
        <v>904960</v>
      </c>
      <c r="E178" s="132">
        <f>SUM(F178:L178)</f>
        <v>904960</v>
      </c>
      <c r="F178" s="132">
        <v>4600</v>
      </c>
      <c r="G178" s="132">
        <v>87400</v>
      </c>
      <c r="H178" s="132">
        <v>45000</v>
      </c>
      <c r="I178" s="132">
        <v>767960</v>
      </c>
      <c r="J178" s="132"/>
      <c r="K178" s="132"/>
      <c r="L178" s="132"/>
      <c r="M178" s="497"/>
      <c r="N178" s="92"/>
    </row>
    <row r="179" spans="1:14" ht="12.75" thickTop="1">
      <c r="A179" s="17"/>
      <c r="B179" s="20"/>
      <c r="C179" s="16"/>
      <c r="D179" s="124"/>
      <c r="E179" s="124"/>
      <c r="F179" s="124"/>
      <c r="G179" s="124"/>
      <c r="H179" s="124"/>
      <c r="I179" s="124"/>
      <c r="J179" s="124"/>
      <c r="K179" s="124"/>
      <c r="L179" s="124"/>
      <c r="M179" s="494"/>
      <c r="N179" s="92"/>
    </row>
    <row r="180" spans="1:14" s="12" customFormat="1" ht="12">
      <c r="A180" s="17"/>
      <c r="B180" s="20"/>
      <c r="C180" s="16" t="s">
        <v>299</v>
      </c>
      <c r="D180" s="124"/>
      <c r="E180" s="124"/>
      <c r="F180" s="124"/>
      <c r="G180" s="124"/>
      <c r="H180" s="124"/>
      <c r="I180" s="124"/>
      <c r="J180" s="124"/>
      <c r="K180" s="124"/>
      <c r="L180" s="124"/>
      <c r="M180" s="494"/>
      <c r="N180" s="92"/>
    </row>
    <row r="181" spans="1:14" s="12" customFormat="1" ht="12">
      <c r="A181" s="17">
        <v>853</v>
      </c>
      <c r="B181" s="42"/>
      <c r="C181" s="21" t="s">
        <v>298</v>
      </c>
      <c r="D181" s="125">
        <f>SUM(D183:D185)</f>
        <v>1603744</v>
      </c>
      <c r="E181" s="125">
        <f aca="true" t="shared" si="39" ref="E181:M181">SUM(E183:E185)</f>
        <v>1603744</v>
      </c>
      <c r="F181" s="125">
        <f>SUM(F183:F185)</f>
        <v>2910</v>
      </c>
      <c r="G181" s="125">
        <f>SUM(G183:G185)</f>
        <v>41190</v>
      </c>
      <c r="H181" s="125">
        <f t="shared" si="39"/>
        <v>939500</v>
      </c>
      <c r="I181" s="125">
        <f t="shared" si="39"/>
        <v>0</v>
      </c>
      <c r="J181" s="125">
        <f>SUM(J183:J185)</f>
        <v>620144</v>
      </c>
      <c r="K181" s="125">
        <f t="shared" si="39"/>
        <v>0</v>
      </c>
      <c r="L181" s="125">
        <f t="shared" si="39"/>
        <v>0</v>
      </c>
      <c r="M181" s="495">
        <f t="shared" si="39"/>
        <v>0</v>
      </c>
      <c r="N181" s="92"/>
    </row>
    <row r="182" spans="1:14" ht="12">
      <c r="A182" s="17"/>
      <c r="B182" s="20"/>
      <c r="C182" s="16"/>
      <c r="D182" s="124"/>
      <c r="E182" s="124"/>
      <c r="F182" s="124"/>
      <c r="G182" s="124"/>
      <c r="H182" s="124"/>
      <c r="I182" s="124"/>
      <c r="J182" s="124"/>
      <c r="K182" s="124"/>
      <c r="L182" s="124"/>
      <c r="M182" s="494"/>
      <c r="N182" s="92"/>
    </row>
    <row r="183" spans="1:14" ht="12">
      <c r="A183" s="17"/>
      <c r="B183" s="20">
        <v>85305</v>
      </c>
      <c r="C183" s="16" t="s">
        <v>356</v>
      </c>
      <c r="D183" s="48">
        <f>SUM(E183+M183)</f>
        <v>930000</v>
      </c>
      <c r="E183" s="124">
        <f>SUM(F183:L183)</f>
        <v>930000</v>
      </c>
      <c r="F183" s="124"/>
      <c r="G183" s="124"/>
      <c r="H183" s="124">
        <v>930000</v>
      </c>
      <c r="I183" s="124"/>
      <c r="J183" s="124"/>
      <c r="K183" s="124"/>
      <c r="L183" s="124"/>
      <c r="M183" s="494"/>
      <c r="N183" s="92"/>
    </row>
    <row r="184" spans="1:14" ht="12">
      <c r="A184" s="17"/>
      <c r="B184" s="20">
        <v>85336</v>
      </c>
      <c r="C184" s="2" t="s">
        <v>171</v>
      </c>
      <c r="D184" s="48">
        <f>SUM(E184+M184)</f>
        <v>29100</v>
      </c>
      <c r="E184" s="124">
        <f>SUM(F184:L184)</f>
        <v>29100</v>
      </c>
      <c r="F184" s="124"/>
      <c r="G184" s="124">
        <v>29100</v>
      </c>
      <c r="H184" s="124"/>
      <c r="I184" s="124"/>
      <c r="J184" s="124"/>
      <c r="K184" s="124"/>
      <c r="L184" s="124"/>
      <c r="M184" s="494"/>
      <c r="N184" s="92"/>
    </row>
    <row r="185" spans="1:14" ht="12.75" thickBot="1">
      <c r="A185" s="44"/>
      <c r="B185" s="46">
        <v>85395</v>
      </c>
      <c r="C185" s="45" t="s">
        <v>467</v>
      </c>
      <c r="D185" s="133">
        <f>SUM(E185+M185)</f>
        <v>644644</v>
      </c>
      <c r="E185" s="132">
        <f>SUM(F185:L185)</f>
        <v>644644</v>
      </c>
      <c r="F185" s="132">
        <v>2910</v>
      </c>
      <c r="G185" s="132">
        <v>12090</v>
      </c>
      <c r="H185" s="132">
        <f>629644-620144</f>
        <v>9500</v>
      </c>
      <c r="I185" s="133"/>
      <c r="J185" s="1007">
        <v>620144</v>
      </c>
      <c r="K185" s="132"/>
      <c r="L185" s="132"/>
      <c r="M185" s="497"/>
      <c r="N185" s="92"/>
    </row>
    <row r="186" spans="1:14" ht="12.75" thickTop="1">
      <c r="A186" s="17"/>
      <c r="B186" s="20"/>
      <c r="C186" s="16"/>
      <c r="D186" s="124"/>
      <c r="E186" s="124"/>
      <c r="F186" s="124"/>
      <c r="G186" s="124"/>
      <c r="H186" s="124"/>
      <c r="I186" s="1299"/>
      <c r="J186" s="137"/>
      <c r="K186" s="124"/>
      <c r="L186" s="124"/>
      <c r="M186" s="494"/>
      <c r="N186" s="92"/>
    </row>
    <row r="187" spans="1:14" ht="12">
      <c r="A187" s="17">
        <v>854</v>
      </c>
      <c r="B187" s="42"/>
      <c r="C187" s="21" t="s">
        <v>453</v>
      </c>
      <c r="D187" s="125">
        <f aca="true" t="shared" si="40" ref="D187:M187">SUM(D189:D191)</f>
        <v>258200</v>
      </c>
      <c r="E187" s="125">
        <f t="shared" si="40"/>
        <v>258200</v>
      </c>
      <c r="F187" s="125">
        <f t="shared" si="40"/>
        <v>0</v>
      </c>
      <c r="G187" s="125">
        <f t="shared" si="40"/>
        <v>0</v>
      </c>
      <c r="H187" s="125">
        <f t="shared" si="40"/>
        <v>258200</v>
      </c>
      <c r="I187" s="134">
        <f t="shared" si="40"/>
        <v>0</v>
      </c>
      <c r="J187" s="1008">
        <f t="shared" si="40"/>
        <v>0</v>
      </c>
      <c r="K187" s="125">
        <f t="shared" si="40"/>
        <v>0</v>
      </c>
      <c r="L187" s="125">
        <f t="shared" si="40"/>
        <v>0</v>
      </c>
      <c r="M187" s="495">
        <f t="shared" si="40"/>
        <v>0</v>
      </c>
      <c r="N187" s="92"/>
    </row>
    <row r="188" spans="1:14" ht="12">
      <c r="A188" s="17"/>
      <c r="B188" s="47"/>
      <c r="C188" s="40"/>
      <c r="D188" s="144"/>
      <c r="E188" s="137"/>
      <c r="F188" s="124"/>
      <c r="G188" s="124"/>
      <c r="H188" s="144"/>
      <c r="I188" s="48"/>
      <c r="J188" s="137"/>
      <c r="K188" s="124"/>
      <c r="L188" s="124"/>
      <c r="M188" s="494"/>
      <c r="N188" s="92"/>
    </row>
    <row r="189" spans="1:14" ht="12">
      <c r="A189" s="17"/>
      <c r="B189" s="20">
        <v>85412</v>
      </c>
      <c r="C189" s="16" t="s">
        <v>357</v>
      </c>
      <c r="D189" s="48"/>
      <c r="E189" s="48"/>
      <c r="F189" s="124"/>
      <c r="G189" s="124"/>
      <c r="H189" s="48"/>
      <c r="I189" s="48"/>
      <c r="J189" s="137"/>
      <c r="K189" s="124"/>
      <c r="L189" s="124"/>
      <c r="M189" s="494"/>
      <c r="N189" s="92"/>
    </row>
    <row r="190" spans="1:14" ht="12">
      <c r="A190" s="17"/>
      <c r="B190" s="20"/>
      <c r="C190" s="16" t="s">
        <v>358</v>
      </c>
      <c r="D190" s="48">
        <f>SUM(E190+M190)</f>
        <v>58200</v>
      </c>
      <c r="E190" s="124">
        <f>SUM(F190:L190)</f>
        <v>58200</v>
      </c>
      <c r="F190" s="124"/>
      <c r="G190" s="124"/>
      <c r="H190" s="48">
        <v>58200</v>
      </c>
      <c r="I190" s="48"/>
      <c r="J190" s="137"/>
      <c r="K190" s="124"/>
      <c r="L190" s="124"/>
      <c r="M190" s="494"/>
      <c r="N190" s="92"/>
    </row>
    <row r="191" spans="1:14" ht="12.75" thickBot="1">
      <c r="A191" s="44"/>
      <c r="B191" s="46">
        <v>85415</v>
      </c>
      <c r="C191" s="45" t="s">
        <v>139</v>
      </c>
      <c r="D191" s="133">
        <f>SUM(E191+M191)</f>
        <v>200000</v>
      </c>
      <c r="E191" s="132">
        <f>SUM(F191:L191)</f>
        <v>200000</v>
      </c>
      <c r="F191" s="132"/>
      <c r="G191" s="132"/>
      <c r="H191" s="133">
        <v>200000</v>
      </c>
      <c r="I191" s="133"/>
      <c r="J191" s="1007"/>
      <c r="K191" s="132"/>
      <c r="L191" s="132"/>
      <c r="M191" s="497"/>
      <c r="N191" s="92"/>
    </row>
    <row r="192" spans="1:14" ht="12.75" thickTop="1">
      <c r="A192" s="17"/>
      <c r="B192" s="20"/>
      <c r="C192" s="16"/>
      <c r="D192" s="124"/>
      <c r="E192" s="124"/>
      <c r="F192" s="124"/>
      <c r="G192" s="124"/>
      <c r="H192" s="48"/>
      <c r="I192" s="48"/>
      <c r="J192" s="137"/>
      <c r="K192" s="124"/>
      <c r="L192" s="124"/>
      <c r="M192" s="494"/>
      <c r="N192" s="92"/>
    </row>
    <row r="193" spans="1:14" ht="12">
      <c r="A193" s="17">
        <v>900</v>
      </c>
      <c r="B193" s="20"/>
      <c r="C193" s="16" t="s">
        <v>75</v>
      </c>
      <c r="D193" s="124"/>
      <c r="E193" s="124"/>
      <c r="F193" s="124"/>
      <c r="G193" s="124"/>
      <c r="H193" s="124"/>
      <c r="I193" s="48"/>
      <c r="J193" s="137"/>
      <c r="K193" s="124"/>
      <c r="L193" s="124"/>
      <c r="M193" s="494"/>
      <c r="N193" s="92"/>
    </row>
    <row r="194" spans="1:14" ht="12">
      <c r="A194" s="17"/>
      <c r="B194" s="42"/>
      <c r="C194" s="21" t="s">
        <v>475</v>
      </c>
      <c r="D194" s="125">
        <f>SUM(D196:D202)</f>
        <v>16226680</v>
      </c>
      <c r="E194" s="125">
        <f aca="true" t="shared" si="41" ref="E194:M194">SUM(E196:E202)</f>
        <v>6126195</v>
      </c>
      <c r="F194" s="125">
        <f>SUM(F196:F202)</f>
        <v>208000</v>
      </c>
      <c r="G194" s="125">
        <f>SUM(G196:G202)</f>
        <v>5718195</v>
      </c>
      <c r="H194" s="125">
        <f t="shared" si="41"/>
        <v>200000</v>
      </c>
      <c r="I194" s="134">
        <f t="shared" si="41"/>
        <v>0</v>
      </c>
      <c r="J194" s="1008">
        <f>SUM(J196:J202)</f>
        <v>0</v>
      </c>
      <c r="K194" s="125">
        <f t="shared" si="41"/>
        <v>0</v>
      </c>
      <c r="L194" s="125">
        <f t="shared" si="41"/>
        <v>0</v>
      </c>
      <c r="M194" s="495">
        <f t="shared" si="41"/>
        <v>10100485</v>
      </c>
      <c r="N194" s="92">
        <f>SUM(M194-311000)</f>
        <v>9789485</v>
      </c>
    </row>
    <row r="195" spans="1:14" ht="12">
      <c r="A195" s="17"/>
      <c r="B195" s="20"/>
      <c r="C195" s="16"/>
      <c r="D195" s="124"/>
      <c r="E195" s="124"/>
      <c r="F195" s="124"/>
      <c r="G195" s="124"/>
      <c r="H195" s="124"/>
      <c r="I195" s="48"/>
      <c r="J195" s="137"/>
      <c r="K195" s="124"/>
      <c r="L195" s="124"/>
      <c r="M195" s="494"/>
      <c r="N195" s="92"/>
    </row>
    <row r="196" spans="1:14" ht="12">
      <c r="A196" s="17"/>
      <c r="B196" s="20">
        <v>90001</v>
      </c>
      <c r="C196" s="16" t="s">
        <v>108</v>
      </c>
      <c r="D196" s="124">
        <f>SUM(E196+M196)</f>
        <v>7320747</v>
      </c>
      <c r="E196" s="124">
        <f>SUM(F196:L196)</f>
        <v>56567</v>
      </c>
      <c r="F196" s="124"/>
      <c r="G196" s="124">
        <v>56567</v>
      </c>
      <c r="H196" s="124"/>
      <c r="I196" s="48"/>
      <c r="J196" s="137"/>
      <c r="K196" s="124"/>
      <c r="L196" s="124"/>
      <c r="M196" s="494">
        <f>7764180-500000</f>
        <v>7264180</v>
      </c>
      <c r="N196" s="92"/>
    </row>
    <row r="197" spans="1:14" ht="11.25" customHeight="1">
      <c r="A197" s="17"/>
      <c r="B197" s="20">
        <v>90003</v>
      </c>
      <c r="C197" s="16" t="s">
        <v>109</v>
      </c>
      <c r="D197" s="124">
        <f>SUM(E197+M197)</f>
        <v>1618000</v>
      </c>
      <c r="E197" s="124">
        <f>SUM(F197:L197)</f>
        <v>1618000</v>
      </c>
      <c r="F197" s="124">
        <v>34000</v>
      </c>
      <c r="G197" s="124">
        <f>1609000-25000</f>
        <v>1584000</v>
      </c>
      <c r="H197" s="124"/>
      <c r="I197" s="124"/>
      <c r="J197" s="124"/>
      <c r="K197" s="124"/>
      <c r="L197" s="124"/>
      <c r="M197" s="494"/>
      <c r="N197" s="92"/>
    </row>
    <row r="198" spans="1:14" ht="12">
      <c r="A198" s="17"/>
      <c r="B198" s="20">
        <v>90004</v>
      </c>
      <c r="C198" s="16" t="s">
        <v>319</v>
      </c>
      <c r="D198" s="124">
        <f>SUM(E198+M198)</f>
        <v>1499500</v>
      </c>
      <c r="E198" s="124">
        <f>SUM(F198:L198)</f>
        <v>1499500</v>
      </c>
      <c r="F198" s="124"/>
      <c r="G198" s="124">
        <v>1499500</v>
      </c>
      <c r="H198" s="124"/>
      <c r="I198" s="124"/>
      <c r="J198" s="124"/>
      <c r="K198" s="124"/>
      <c r="L198" s="124"/>
      <c r="M198" s="494"/>
      <c r="N198" s="92"/>
    </row>
    <row r="199" spans="1:14" s="29" customFormat="1" ht="12">
      <c r="A199" s="17"/>
      <c r="B199" s="20">
        <v>90015</v>
      </c>
      <c r="C199" s="16" t="s">
        <v>76</v>
      </c>
      <c r="D199" s="124">
        <f>SUM(E199+M199)</f>
        <v>2320128</v>
      </c>
      <c r="E199" s="124">
        <f>SUM(F199:L199)</f>
        <v>2050128</v>
      </c>
      <c r="F199" s="124"/>
      <c r="G199" s="124">
        <v>2050128</v>
      </c>
      <c r="H199" s="124"/>
      <c r="I199" s="124"/>
      <c r="J199" s="124"/>
      <c r="K199" s="124"/>
      <c r="L199" s="124"/>
      <c r="M199" s="494">
        <f>220000+50000</f>
        <v>270000</v>
      </c>
      <c r="N199" s="92">
        <f>SUM(M199-311000)</f>
        <v>-41000</v>
      </c>
    </row>
    <row r="200" spans="1:14" ht="12">
      <c r="A200" s="17"/>
      <c r="B200" s="20">
        <v>90020</v>
      </c>
      <c r="C200" s="16" t="s">
        <v>360</v>
      </c>
      <c r="D200" s="124"/>
      <c r="E200" s="124"/>
      <c r="F200" s="124"/>
      <c r="G200" s="124"/>
      <c r="H200" s="124"/>
      <c r="I200" s="124"/>
      <c r="J200" s="124"/>
      <c r="K200" s="124"/>
      <c r="L200" s="124"/>
      <c r="M200" s="494"/>
      <c r="N200" s="92"/>
    </row>
    <row r="201" spans="1:14" ht="12">
      <c r="A201" s="17"/>
      <c r="B201" s="20"/>
      <c r="C201" s="16" t="s">
        <v>361</v>
      </c>
      <c r="D201" s="124">
        <f>SUM(E201+M201)</f>
        <v>50000</v>
      </c>
      <c r="E201" s="124">
        <f>SUM(F201:L201)</f>
        <v>50000</v>
      </c>
      <c r="F201" s="124"/>
      <c r="G201" s="124">
        <v>50000</v>
      </c>
      <c r="H201" s="124"/>
      <c r="I201" s="124"/>
      <c r="J201" s="124"/>
      <c r="K201" s="124"/>
      <c r="L201" s="124"/>
      <c r="M201" s="494"/>
      <c r="N201" s="92"/>
    </row>
    <row r="202" spans="1:14" ht="12.75" thickBot="1">
      <c r="A202" s="44"/>
      <c r="B202" s="46">
        <v>90095</v>
      </c>
      <c r="C202" s="45" t="s">
        <v>467</v>
      </c>
      <c r="D202" s="132">
        <f>SUM(E202+M202)</f>
        <v>3418305</v>
      </c>
      <c r="E202" s="132">
        <f>SUM(F202:L202)</f>
        <v>852000</v>
      </c>
      <c r="F202" s="132">
        <f>177000-3000</f>
        <v>174000</v>
      </c>
      <c r="G202" s="132">
        <v>478000</v>
      </c>
      <c r="H202" s="132">
        <f>400000-200000</f>
        <v>200000</v>
      </c>
      <c r="I202" s="132"/>
      <c r="J202" s="132"/>
      <c r="K202" s="132"/>
      <c r="L202" s="132"/>
      <c r="M202" s="497">
        <f>2416305+150000</f>
        <v>2566305</v>
      </c>
      <c r="N202" s="92"/>
    </row>
    <row r="203" spans="1:14" ht="12.75" thickTop="1">
      <c r="A203" s="17"/>
      <c r="B203" s="20"/>
      <c r="C203" s="16"/>
      <c r="D203" s="124"/>
      <c r="E203" s="124"/>
      <c r="F203" s="124"/>
      <c r="G203" s="124"/>
      <c r="H203" s="124"/>
      <c r="I203" s="124"/>
      <c r="J203" s="124"/>
      <c r="K203" s="124"/>
      <c r="L203" s="124"/>
      <c r="M203" s="494"/>
      <c r="N203" s="92"/>
    </row>
    <row r="204" spans="1:14" ht="12">
      <c r="A204" s="17">
        <v>921</v>
      </c>
      <c r="B204" s="20"/>
      <c r="C204" s="16" t="s">
        <v>455</v>
      </c>
      <c r="D204" s="124"/>
      <c r="E204" s="124"/>
      <c r="F204" s="124"/>
      <c r="G204" s="124"/>
      <c r="H204" s="124"/>
      <c r="I204" s="124"/>
      <c r="J204" s="124"/>
      <c r="K204" s="124"/>
      <c r="L204" s="124"/>
      <c r="M204" s="494"/>
      <c r="N204" s="92"/>
    </row>
    <row r="205" spans="1:14" ht="12">
      <c r="A205" s="17"/>
      <c r="B205" s="42"/>
      <c r="C205" s="21" t="s">
        <v>456</v>
      </c>
      <c r="D205" s="125">
        <f>SUM(D207:D210)</f>
        <v>5578370</v>
      </c>
      <c r="E205" s="125">
        <f aca="true" t="shared" si="42" ref="E205:M205">SUM(E207:E210)</f>
        <v>3778370</v>
      </c>
      <c r="F205" s="125">
        <f>SUM(F207:F210)</f>
        <v>73570</v>
      </c>
      <c r="G205" s="125">
        <f>SUM(G207:G210)</f>
        <v>607800</v>
      </c>
      <c r="H205" s="125">
        <f t="shared" si="42"/>
        <v>3071800</v>
      </c>
      <c r="I205" s="125">
        <f t="shared" si="42"/>
        <v>25200</v>
      </c>
      <c r="J205" s="125">
        <f>SUM(J207:J210)</f>
        <v>0</v>
      </c>
      <c r="K205" s="125">
        <f t="shared" si="42"/>
        <v>0</v>
      </c>
      <c r="L205" s="125">
        <f t="shared" si="42"/>
        <v>0</v>
      </c>
      <c r="M205" s="495">
        <f t="shared" si="42"/>
        <v>1800000</v>
      </c>
      <c r="N205" s="92"/>
    </row>
    <row r="206" spans="1:14" ht="12">
      <c r="A206" s="17"/>
      <c r="B206" s="20"/>
      <c r="C206" s="16"/>
      <c r="D206" s="124"/>
      <c r="E206" s="124"/>
      <c r="F206" s="124"/>
      <c r="G206" s="124"/>
      <c r="H206" s="124"/>
      <c r="I206" s="124"/>
      <c r="J206" s="124"/>
      <c r="K206" s="124"/>
      <c r="L206" s="124"/>
      <c r="M206" s="494"/>
      <c r="N206" s="92"/>
    </row>
    <row r="207" spans="1:14" s="29" customFormat="1" ht="12">
      <c r="A207" s="17"/>
      <c r="B207" s="20">
        <v>92109</v>
      </c>
      <c r="C207" s="16" t="s">
        <v>110</v>
      </c>
      <c r="D207" s="124">
        <f>SUM(E207+M207)</f>
        <v>4381570</v>
      </c>
      <c r="E207" s="124">
        <f>SUM(F207:L207)</f>
        <v>2581570</v>
      </c>
      <c r="F207" s="730">
        <v>73570</v>
      </c>
      <c r="G207" s="730">
        <v>603000</v>
      </c>
      <c r="H207" s="124">
        <f>2696000-191000-600000</f>
        <v>1905000</v>
      </c>
      <c r="I207" s="124"/>
      <c r="J207" s="124"/>
      <c r="K207" s="124"/>
      <c r="L207" s="124"/>
      <c r="M207" s="494">
        <f>3240000-1440000</f>
        <v>1800000</v>
      </c>
      <c r="N207" s="92"/>
    </row>
    <row r="208" spans="1:14" ht="12">
      <c r="A208" s="17"/>
      <c r="B208" s="20">
        <v>92116</v>
      </c>
      <c r="C208" s="16" t="s">
        <v>173</v>
      </c>
      <c r="D208" s="124">
        <f>SUM(E208+M208)</f>
        <v>1081300</v>
      </c>
      <c r="E208" s="124">
        <f>SUM(F208:L208)</f>
        <v>1081300</v>
      </c>
      <c r="F208" s="124"/>
      <c r="G208" s="124"/>
      <c r="H208" s="124">
        <v>1081300</v>
      </c>
      <c r="I208" s="124"/>
      <c r="J208" s="124"/>
      <c r="K208" s="124"/>
      <c r="L208" s="124"/>
      <c r="M208" s="494"/>
      <c r="N208" s="92"/>
    </row>
    <row r="209" spans="1:14" ht="12">
      <c r="A209" s="17"/>
      <c r="B209" s="20">
        <v>92120</v>
      </c>
      <c r="C209" s="16" t="s">
        <v>330</v>
      </c>
      <c r="D209" s="124">
        <f>SUM(E209+M209)</f>
        <v>40700</v>
      </c>
      <c r="E209" s="124">
        <f>SUM(F209:L209)</f>
        <v>40700</v>
      </c>
      <c r="F209" s="124">
        <f>47000-47000</f>
        <v>0</v>
      </c>
      <c r="G209" s="124"/>
      <c r="H209" s="124">
        <v>40700</v>
      </c>
      <c r="I209" s="124"/>
      <c r="J209" s="124"/>
      <c r="K209" s="124"/>
      <c r="L209" s="124"/>
      <c r="M209" s="494"/>
      <c r="N209" s="92"/>
    </row>
    <row r="210" spans="1:14" ht="12.75" thickBot="1">
      <c r="A210" s="44"/>
      <c r="B210" s="46">
        <v>92195</v>
      </c>
      <c r="C210" s="45" t="s">
        <v>467</v>
      </c>
      <c r="D210" s="133">
        <f>SUM(E210+M210)</f>
        <v>74800</v>
      </c>
      <c r="E210" s="132">
        <f>SUM(F210:L210)</f>
        <v>74800</v>
      </c>
      <c r="F210" s="132"/>
      <c r="G210" s="132">
        <v>4800</v>
      </c>
      <c r="H210" s="132">
        <f>38800+6000</f>
        <v>44800</v>
      </c>
      <c r="I210" s="132">
        <v>25200</v>
      </c>
      <c r="J210" s="132"/>
      <c r="K210" s="132"/>
      <c r="L210" s="132"/>
      <c r="M210" s="497"/>
      <c r="N210" s="92"/>
    </row>
    <row r="211" spans="1:14" ht="12.75" thickTop="1">
      <c r="A211" s="146"/>
      <c r="B211" s="212"/>
      <c r="C211" s="212"/>
      <c r="D211" s="213"/>
      <c r="E211" s="213"/>
      <c r="F211" s="213"/>
      <c r="G211" s="213"/>
      <c r="H211" s="213"/>
      <c r="I211" s="213"/>
      <c r="J211" s="213"/>
      <c r="K211" s="213"/>
      <c r="L211" s="213"/>
      <c r="M211" s="531"/>
      <c r="N211" s="92"/>
    </row>
    <row r="212" spans="1:14" ht="12">
      <c r="A212" s="17">
        <v>926</v>
      </c>
      <c r="B212" s="42"/>
      <c r="C212" s="21" t="s">
        <v>88</v>
      </c>
      <c r="D212" s="125">
        <f aca="true" t="shared" si="43" ref="D212:M212">SUM(D214:D217)</f>
        <v>4889900</v>
      </c>
      <c r="E212" s="125">
        <f t="shared" si="43"/>
        <v>3389900</v>
      </c>
      <c r="F212" s="125">
        <f>SUM(F214:F217)</f>
        <v>1144800</v>
      </c>
      <c r="G212" s="125">
        <f>SUM(G214:G217)</f>
        <v>1032000</v>
      </c>
      <c r="H212" s="125">
        <f t="shared" si="43"/>
        <v>1127500</v>
      </c>
      <c r="I212" s="125">
        <f t="shared" si="43"/>
        <v>85600</v>
      </c>
      <c r="J212" s="125">
        <f>SUM(J214:J217)</f>
        <v>0</v>
      </c>
      <c r="K212" s="125">
        <f t="shared" si="43"/>
        <v>0</v>
      </c>
      <c r="L212" s="125">
        <f t="shared" si="43"/>
        <v>0</v>
      </c>
      <c r="M212" s="495">
        <f t="shared" si="43"/>
        <v>1500000</v>
      </c>
      <c r="N212" s="92"/>
    </row>
    <row r="213" spans="1:14" ht="12">
      <c r="A213" s="17"/>
      <c r="B213" s="20"/>
      <c r="C213" s="16"/>
      <c r="D213" s="124"/>
      <c r="E213" s="124"/>
      <c r="F213" s="124"/>
      <c r="G213" s="124"/>
      <c r="H213" s="124"/>
      <c r="I213" s="124"/>
      <c r="J213" s="124"/>
      <c r="K213" s="124"/>
      <c r="L213" s="124"/>
      <c r="M213" s="494"/>
      <c r="N213" s="92"/>
    </row>
    <row r="214" spans="1:14" s="35" customFormat="1" ht="12" customHeight="1">
      <c r="A214" s="17"/>
      <c r="B214" s="20">
        <v>92601</v>
      </c>
      <c r="C214" s="16" t="s">
        <v>274</v>
      </c>
      <c r="D214" s="124">
        <f>SUM(E214+M214)</f>
        <v>1500000</v>
      </c>
      <c r="E214" s="124"/>
      <c r="F214" s="731"/>
      <c r="G214" s="731"/>
      <c r="H214" s="124"/>
      <c r="I214" s="124"/>
      <c r="J214" s="124"/>
      <c r="K214" s="124"/>
      <c r="L214" s="124"/>
      <c r="M214" s="494">
        <f>1532000-32000</f>
        <v>1500000</v>
      </c>
      <c r="N214" s="92"/>
    </row>
    <row r="215" spans="1:14" s="35" customFormat="1" ht="12" customHeight="1">
      <c r="A215" s="17"/>
      <c r="B215" s="20">
        <v>92604</v>
      </c>
      <c r="C215" s="16" t="s">
        <v>180</v>
      </c>
      <c r="D215" s="124">
        <f>SUM(E215+M215)</f>
        <v>2156000</v>
      </c>
      <c r="E215" s="124">
        <f>SUM(F215:L215)</f>
        <v>2156000</v>
      </c>
      <c r="F215" s="731">
        <f>1205800-61000</f>
        <v>1144800</v>
      </c>
      <c r="G215" s="731">
        <f>1082200-86000</f>
        <v>996200</v>
      </c>
      <c r="H215" s="124"/>
      <c r="I215" s="124">
        <f>18000-3000</f>
        <v>15000</v>
      </c>
      <c r="J215" s="124"/>
      <c r="K215" s="124"/>
      <c r="L215" s="124"/>
      <c r="M215" s="494"/>
      <c r="N215" s="92"/>
    </row>
    <row r="216" spans="1:14" ht="12">
      <c r="A216" s="17"/>
      <c r="B216" s="20">
        <v>92605</v>
      </c>
      <c r="C216" s="16" t="s">
        <v>112</v>
      </c>
      <c r="D216" s="124">
        <f>SUM(E216+M216)</f>
        <v>1198100</v>
      </c>
      <c r="E216" s="124">
        <f>SUM(F216:L216)</f>
        <v>1198100</v>
      </c>
      <c r="F216" s="124"/>
      <c r="G216" s="124"/>
      <c r="H216" s="124">
        <f>727500+100000+300000</f>
        <v>1127500</v>
      </c>
      <c r="I216" s="124">
        <v>70600</v>
      </c>
      <c r="J216" s="124"/>
      <c r="K216" s="124"/>
      <c r="L216" s="124"/>
      <c r="M216" s="494"/>
      <c r="N216" s="92"/>
    </row>
    <row r="217" spans="1:14" ht="12" customHeight="1" thickBot="1">
      <c r="A217" s="17"/>
      <c r="B217" s="20">
        <v>92695</v>
      </c>
      <c r="C217" s="16" t="s">
        <v>467</v>
      </c>
      <c r="D217" s="124">
        <f>SUM(E217+M217)</f>
        <v>35800</v>
      </c>
      <c r="E217" s="124">
        <f>SUM(F217:L217)</f>
        <v>35800</v>
      </c>
      <c r="F217" s="124"/>
      <c r="G217" s="124">
        <v>35800</v>
      </c>
      <c r="H217" s="124"/>
      <c r="I217" s="124"/>
      <c r="J217" s="124"/>
      <c r="K217" s="124"/>
      <c r="L217" s="124"/>
      <c r="M217" s="494"/>
      <c r="N217" s="92"/>
    </row>
    <row r="218" spans="1:14" ht="12">
      <c r="A218" s="295" t="s">
        <v>419</v>
      </c>
      <c r="B218" s="296"/>
      <c r="C218" s="296"/>
      <c r="D218" s="297"/>
      <c r="E218" s="297"/>
      <c r="F218" s="297"/>
      <c r="G218" s="297"/>
      <c r="H218" s="297"/>
      <c r="I218" s="297"/>
      <c r="J218" s="297"/>
      <c r="K218" s="297"/>
      <c r="L218" s="297"/>
      <c r="M218" s="523"/>
      <c r="N218" s="92"/>
    </row>
    <row r="219" spans="1:14" s="91" customFormat="1" ht="12.75">
      <c r="A219" s="89"/>
      <c r="B219" s="298"/>
      <c r="C219" s="298" t="s">
        <v>89</v>
      </c>
      <c r="D219" s="299">
        <f aca="true" t="shared" si="44" ref="D219:M219">SUM(D76,D83,D88,D93,D97,D103,D110,D120,D130,D135,D140,D144,D156,D164,D181,D187,D194,D205,D212)</f>
        <v>129346982</v>
      </c>
      <c r="E219" s="299">
        <f t="shared" si="44"/>
        <v>88993946</v>
      </c>
      <c r="F219" s="299">
        <f t="shared" si="44"/>
        <v>14499470</v>
      </c>
      <c r="G219" s="299">
        <f t="shared" si="44"/>
        <v>23385812</v>
      </c>
      <c r="H219" s="299">
        <f t="shared" si="44"/>
        <v>43476191</v>
      </c>
      <c r="I219" s="299">
        <f t="shared" si="44"/>
        <v>4699218</v>
      </c>
      <c r="J219" s="299">
        <f t="shared" si="44"/>
        <v>868255</v>
      </c>
      <c r="K219" s="299">
        <f t="shared" si="44"/>
        <v>2065000</v>
      </c>
      <c r="L219" s="299">
        <f t="shared" si="44"/>
        <v>0</v>
      </c>
      <c r="M219" s="518">
        <f t="shared" si="44"/>
        <v>40353036</v>
      </c>
      <c r="N219" s="92"/>
    </row>
    <row r="220" spans="1:14" s="91" customFormat="1" ht="13.5" thickBot="1">
      <c r="A220" s="300"/>
      <c r="B220" s="301"/>
      <c r="C220" s="302"/>
      <c r="D220" s="150"/>
      <c r="E220" s="150"/>
      <c r="F220" s="150"/>
      <c r="G220" s="150"/>
      <c r="H220" s="150"/>
      <c r="I220" s="150"/>
      <c r="J220" s="150"/>
      <c r="K220" s="150"/>
      <c r="L220" s="150"/>
      <c r="M220" s="529"/>
      <c r="N220" s="92"/>
    </row>
    <row r="221" spans="1:14" s="91" customFormat="1" ht="29.25" customHeight="1">
      <c r="A221" s="1369" t="s">
        <v>597</v>
      </c>
      <c r="B221" s="1369"/>
      <c r="C221" s="1369"/>
      <c r="D221" s="1369"/>
      <c r="E221" s="1369"/>
      <c r="F221" s="1369"/>
      <c r="G221" s="1369"/>
      <c r="H221" s="1369"/>
      <c r="I221" s="1369"/>
      <c r="J221" s="1369"/>
      <c r="K221" s="1369"/>
      <c r="L221" s="1369"/>
      <c r="M221" s="1369"/>
      <c r="N221" s="92"/>
    </row>
    <row r="222" spans="1:14" ht="15" customHeight="1">
      <c r="A222" s="1351" t="s">
        <v>428</v>
      </c>
      <c r="B222" s="1351"/>
      <c r="C222" s="1351"/>
      <c r="D222" s="1351"/>
      <c r="E222" s="1351"/>
      <c r="F222" s="1351"/>
      <c r="G222" s="1351"/>
      <c r="H222" s="1351"/>
      <c r="I222" s="1351"/>
      <c r="J222" s="1351"/>
      <c r="K222" s="1351"/>
      <c r="L222" s="1351"/>
      <c r="M222" s="1351"/>
      <c r="N222" s="405"/>
    </row>
    <row r="223" spans="1:14" ht="15" customHeight="1">
      <c r="A223" s="11"/>
      <c r="B223" s="11"/>
      <c r="C223" s="11"/>
      <c r="D223" s="692"/>
      <c r="E223" s="692"/>
      <c r="F223" s="692"/>
      <c r="G223" s="692"/>
      <c r="H223" s="692"/>
      <c r="I223" s="692"/>
      <c r="J223" s="692"/>
      <c r="K223" s="692"/>
      <c r="L223" s="11"/>
      <c r="M223" s="692"/>
      <c r="N223" s="405"/>
    </row>
    <row r="224" spans="1:14" s="503" customFormat="1" ht="12.75" customHeight="1" thickBot="1">
      <c r="A224" s="127"/>
      <c r="B224" s="127"/>
      <c r="C224" s="127"/>
      <c r="D224" s="127"/>
      <c r="E224" s="127"/>
      <c r="F224" s="127"/>
      <c r="G224" s="127"/>
      <c r="H224" s="693"/>
      <c r="I224" s="693"/>
      <c r="J224" s="127"/>
      <c r="K224" s="127"/>
      <c r="L224" s="127"/>
      <c r="M224" s="58" t="s">
        <v>116</v>
      </c>
      <c r="N224" s="502"/>
    </row>
    <row r="225" spans="1:14" ht="12">
      <c r="A225" s="1374" t="s">
        <v>440</v>
      </c>
      <c r="B225" s="1354" t="s">
        <v>458</v>
      </c>
      <c r="C225" s="1358" t="s">
        <v>459</v>
      </c>
      <c r="D225" s="1354" t="s">
        <v>421</v>
      </c>
      <c r="E225" s="1366" t="s">
        <v>78</v>
      </c>
      <c r="F225" s="1367"/>
      <c r="G225" s="1367"/>
      <c r="H225" s="1367"/>
      <c r="I225" s="1367"/>
      <c r="J225" s="1367"/>
      <c r="K225" s="1367"/>
      <c r="L225" s="1367"/>
      <c r="M225" s="1368"/>
      <c r="N225" s="92"/>
    </row>
    <row r="226" spans="1:14" ht="12" customHeight="1">
      <c r="A226" s="1375"/>
      <c r="B226" s="1355"/>
      <c r="C226" s="1359"/>
      <c r="D226" s="1355"/>
      <c r="E226" s="1357" t="s">
        <v>338</v>
      </c>
      <c r="F226" s="1363" t="s">
        <v>78</v>
      </c>
      <c r="G226" s="1364"/>
      <c r="H226" s="1364"/>
      <c r="I226" s="1364"/>
      <c r="J226" s="1364"/>
      <c r="K226" s="1364"/>
      <c r="L226" s="1365"/>
      <c r="M226" s="1371" t="s">
        <v>337</v>
      </c>
      <c r="N226" s="92"/>
    </row>
    <row r="227" spans="1:14" ht="31.5" customHeight="1">
      <c r="A227" s="1375"/>
      <c r="B227" s="1355"/>
      <c r="C227" s="1359"/>
      <c r="D227" s="1355"/>
      <c r="E227" s="1355"/>
      <c r="F227" s="1361" t="s">
        <v>492</v>
      </c>
      <c r="G227" s="1361"/>
      <c r="H227" s="1361" t="s">
        <v>494</v>
      </c>
      <c r="I227" s="1361" t="s">
        <v>596</v>
      </c>
      <c r="J227" s="1362" t="s">
        <v>593</v>
      </c>
      <c r="K227" s="1352" t="s">
        <v>335</v>
      </c>
      <c r="L227" s="1361" t="s">
        <v>336</v>
      </c>
      <c r="M227" s="1372"/>
      <c r="N227" s="92"/>
    </row>
    <row r="228" spans="1:14" ht="201.75" customHeight="1">
      <c r="A228" s="1376"/>
      <c r="B228" s="1356"/>
      <c r="C228" s="1360"/>
      <c r="D228" s="1356"/>
      <c r="E228" s="1356"/>
      <c r="F228" s="1010" t="s">
        <v>491</v>
      </c>
      <c r="G228" s="1010" t="s">
        <v>493</v>
      </c>
      <c r="H228" s="1361"/>
      <c r="I228" s="1361"/>
      <c r="J228" s="1362"/>
      <c r="K228" s="1353"/>
      <c r="L228" s="1361"/>
      <c r="M228" s="1373"/>
      <c r="N228" s="92"/>
    </row>
    <row r="229" spans="1:14" ht="12.75" thickBot="1">
      <c r="A229" s="442">
        <v>1</v>
      </c>
      <c r="B229" s="443">
        <v>2</v>
      </c>
      <c r="C229" s="444">
        <v>3</v>
      </c>
      <c r="D229" s="443">
        <v>4</v>
      </c>
      <c r="E229" s="443">
        <v>5</v>
      </c>
      <c r="F229" s="443">
        <v>6</v>
      </c>
      <c r="G229" s="443">
        <v>7</v>
      </c>
      <c r="H229" s="443">
        <v>8</v>
      </c>
      <c r="I229" s="443">
        <v>9</v>
      </c>
      <c r="J229" s="443">
        <v>10</v>
      </c>
      <c r="K229" s="443">
        <v>11</v>
      </c>
      <c r="L229" s="443">
        <v>12</v>
      </c>
      <c r="M229" s="445">
        <v>13</v>
      </c>
      <c r="N229" s="92"/>
    </row>
    <row r="230" spans="1:14" ht="12">
      <c r="A230" s="14"/>
      <c r="B230" s="16"/>
      <c r="C230" s="16"/>
      <c r="D230" s="16"/>
      <c r="E230" s="991"/>
      <c r="F230" s="991"/>
      <c r="G230" s="991"/>
      <c r="H230" s="991"/>
      <c r="I230" s="991"/>
      <c r="J230" s="991"/>
      <c r="K230" s="991"/>
      <c r="L230" s="991"/>
      <c r="M230" s="992"/>
      <c r="N230" s="92"/>
    </row>
    <row r="231" spans="1:14" ht="12">
      <c r="A231" s="17">
        <v>750</v>
      </c>
      <c r="B231" s="42"/>
      <c r="C231" s="21" t="s">
        <v>446</v>
      </c>
      <c r="D231" s="124">
        <f aca="true" t="shared" si="45" ref="D231:M231">SUM(D233:D233)</f>
        <v>305000</v>
      </c>
      <c r="E231" s="993">
        <f t="shared" si="45"/>
        <v>305000</v>
      </c>
      <c r="F231" s="993">
        <f>SUM(F233:F233)</f>
        <v>305000</v>
      </c>
      <c r="G231" s="993">
        <f>SUM(G233:G233)</f>
        <v>0</v>
      </c>
      <c r="H231" s="993">
        <f t="shared" si="45"/>
        <v>0</v>
      </c>
      <c r="I231" s="993">
        <f t="shared" si="45"/>
        <v>0</v>
      </c>
      <c r="J231" s="993">
        <f>SUM(J233:J233)</f>
        <v>0</v>
      </c>
      <c r="K231" s="993">
        <f t="shared" si="45"/>
        <v>0</v>
      </c>
      <c r="L231" s="993">
        <f t="shared" si="45"/>
        <v>0</v>
      </c>
      <c r="M231" s="994">
        <f t="shared" si="45"/>
        <v>0</v>
      </c>
      <c r="N231" s="92"/>
    </row>
    <row r="232" spans="1:14" ht="12">
      <c r="A232" s="17"/>
      <c r="B232" s="20"/>
      <c r="C232" s="16"/>
      <c r="D232" s="144"/>
      <c r="E232" s="995"/>
      <c r="F232" s="995"/>
      <c r="G232" s="995"/>
      <c r="H232" s="995"/>
      <c r="I232" s="995"/>
      <c r="J232" s="995"/>
      <c r="K232" s="995"/>
      <c r="L232" s="995"/>
      <c r="M232" s="992"/>
      <c r="N232" s="92"/>
    </row>
    <row r="233" spans="1:14" ht="12.75" thickBot="1">
      <c r="A233" s="496"/>
      <c r="B233" s="46">
        <v>75011</v>
      </c>
      <c r="C233" s="45" t="s">
        <v>113</v>
      </c>
      <c r="D233" s="133">
        <f>SUM(E233+M233)</f>
        <v>305000</v>
      </c>
      <c r="E233" s="132">
        <f>SUM(F233:L233)</f>
        <v>305000</v>
      </c>
      <c r="F233" s="996">
        <v>305000</v>
      </c>
      <c r="G233" s="996"/>
      <c r="H233" s="996"/>
      <c r="I233" s="996"/>
      <c r="J233" s="996"/>
      <c r="K233" s="996"/>
      <c r="L233" s="996"/>
      <c r="M233" s="997"/>
      <c r="N233" s="92"/>
    </row>
    <row r="234" spans="1:14" s="1006" customFormat="1" ht="12.75" thickTop="1">
      <c r="A234" s="1003"/>
      <c r="B234" s="1004"/>
      <c r="C234" s="988"/>
      <c r="D234" s="990"/>
      <c r="E234" s="990"/>
      <c r="F234" s="990"/>
      <c r="G234" s="990"/>
      <c r="H234" s="990"/>
      <c r="I234" s="990"/>
      <c r="J234" s="990"/>
      <c r="K234" s="990"/>
      <c r="L234" s="990"/>
      <c r="M234" s="989"/>
      <c r="N234" s="1005"/>
    </row>
    <row r="235" spans="1:14" s="817" customFormat="1" ht="12" customHeight="1">
      <c r="A235" s="1011">
        <v>751</v>
      </c>
      <c r="B235" s="1027"/>
      <c r="C235" s="991" t="s">
        <v>447</v>
      </c>
      <c r="D235" s="995"/>
      <c r="E235" s="995"/>
      <c r="F235" s="995"/>
      <c r="G235" s="995"/>
      <c r="H235" s="995"/>
      <c r="I235" s="995"/>
      <c r="J235" s="995"/>
      <c r="K235" s="995"/>
      <c r="L235" s="995"/>
      <c r="M235" s="992"/>
      <c r="N235" s="816"/>
    </row>
    <row r="236" spans="1:14" s="817" customFormat="1" ht="12">
      <c r="A236" s="1011"/>
      <c r="B236" s="1027"/>
      <c r="C236" s="991" t="s">
        <v>114</v>
      </c>
      <c r="D236" s="995"/>
      <c r="E236" s="995"/>
      <c r="F236" s="995"/>
      <c r="G236" s="995"/>
      <c r="H236" s="995"/>
      <c r="I236" s="995"/>
      <c r="J236" s="995"/>
      <c r="K236" s="995"/>
      <c r="L236" s="995"/>
      <c r="M236" s="992"/>
      <c r="N236" s="816"/>
    </row>
    <row r="237" spans="1:14" s="1030" customFormat="1" ht="12">
      <c r="A237" s="1011"/>
      <c r="B237" s="1028"/>
      <c r="C237" s="1029" t="s">
        <v>86</v>
      </c>
      <c r="D237" s="993">
        <f aca="true" t="shared" si="46" ref="D237:M237">SUM(D240:D240)</f>
        <v>6780</v>
      </c>
      <c r="E237" s="993">
        <f t="shared" si="46"/>
        <v>6780</v>
      </c>
      <c r="F237" s="993">
        <f>SUM(F240:F240)</f>
        <v>6240</v>
      </c>
      <c r="G237" s="993">
        <f>SUM(G240:G240)</f>
        <v>540</v>
      </c>
      <c r="H237" s="993">
        <f t="shared" si="46"/>
        <v>0</v>
      </c>
      <c r="I237" s="993">
        <f t="shared" si="46"/>
        <v>0</v>
      </c>
      <c r="J237" s="993">
        <f>SUM(J240:J240)</f>
        <v>0</v>
      </c>
      <c r="K237" s="993">
        <f t="shared" si="46"/>
        <v>0</v>
      </c>
      <c r="L237" s="993">
        <f t="shared" si="46"/>
        <v>0</v>
      </c>
      <c r="M237" s="994">
        <f t="shared" si="46"/>
        <v>0</v>
      </c>
      <c r="N237" s="816"/>
    </row>
    <row r="238" spans="1:14" s="817" customFormat="1" ht="16.5" customHeight="1">
      <c r="A238" s="1011"/>
      <c r="B238" s="1027"/>
      <c r="C238" s="991"/>
      <c r="D238" s="1031"/>
      <c r="E238" s="995"/>
      <c r="F238" s="995"/>
      <c r="G238" s="995"/>
      <c r="H238" s="995"/>
      <c r="I238" s="995"/>
      <c r="J238" s="995"/>
      <c r="K238" s="995"/>
      <c r="L238" s="995"/>
      <c r="M238" s="992"/>
      <c r="N238" s="127"/>
    </row>
    <row r="239" spans="1:14" s="817" customFormat="1" ht="12.75" customHeight="1">
      <c r="A239" s="1011"/>
      <c r="B239" s="1027">
        <v>75101</v>
      </c>
      <c r="C239" s="991" t="s">
        <v>481</v>
      </c>
      <c r="D239" s="1032"/>
      <c r="E239" s="995"/>
      <c r="F239" s="995"/>
      <c r="G239" s="995"/>
      <c r="H239" s="995"/>
      <c r="I239" s="995"/>
      <c r="J239" s="995"/>
      <c r="K239" s="995"/>
      <c r="L239" s="995"/>
      <c r="M239" s="992"/>
      <c r="N239" s="127"/>
    </row>
    <row r="240" spans="1:14" s="817" customFormat="1" ht="12.75" customHeight="1" thickBot="1">
      <c r="A240" s="1033"/>
      <c r="B240" s="1034"/>
      <c r="C240" s="1035" t="s">
        <v>482</v>
      </c>
      <c r="D240" s="1036">
        <f>SUM(E240+M240)</f>
        <v>6780</v>
      </c>
      <c r="E240" s="132">
        <f>SUM(F240:L240)</f>
        <v>6780</v>
      </c>
      <c r="F240" s="996">
        <v>6240</v>
      </c>
      <c r="G240" s="996">
        <v>540</v>
      </c>
      <c r="H240" s="996"/>
      <c r="I240" s="996"/>
      <c r="J240" s="996"/>
      <c r="K240" s="996"/>
      <c r="L240" s="996"/>
      <c r="M240" s="997"/>
      <c r="N240" s="58"/>
    </row>
    <row r="241" spans="1:14" s="503" customFormat="1" ht="12.75" customHeight="1" thickTop="1">
      <c r="A241" s="498"/>
      <c r="B241" s="499"/>
      <c r="C241" s="500"/>
      <c r="D241" s="501"/>
      <c r="E241" s="995"/>
      <c r="F241" s="995"/>
      <c r="G241" s="995"/>
      <c r="H241" s="995"/>
      <c r="I241" s="995"/>
      <c r="J241" s="995"/>
      <c r="K241" s="995"/>
      <c r="L241" s="995"/>
      <c r="M241" s="998"/>
      <c r="N241" s="502"/>
    </row>
    <row r="242" spans="1:14" s="503" customFormat="1" ht="12.75" customHeight="1">
      <c r="A242" s="498">
        <v>851</v>
      </c>
      <c r="B242" s="504"/>
      <c r="C242" s="505" t="s">
        <v>452</v>
      </c>
      <c r="D242" s="506">
        <f aca="true" t="shared" si="47" ref="D242:M242">SUM(D244)</f>
        <v>2000</v>
      </c>
      <c r="E242" s="993">
        <f t="shared" si="47"/>
        <v>2000</v>
      </c>
      <c r="F242" s="993">
        <f>SUM(F244)</f>
        <v>1850</v>
      </c>
      <c r="G242" s="993">
        <f>SUM(G244)</f>
        <v>150</v>
      </c>
      <c r="H242" s="993">
        <f t="shared" si="47"/>
        <v>0</v>
      </c>
      <c r="I242" s="993">
        <f t="shared" si="47"/>
        <v>0</v>
      </c>
      <c r="J242" s="993">
        <f>SUM(J244)</f>
        <v>0</v>
      </c>
      <c r="K242" s="993">
        <f t="shared" si="47"/>
        <v>0</v>
      </c>
      <c r="L242" s="993">
        <f t="shared" si="47"/>
        <v>0</v>
      </c>
      <c r="M242" s="994">
        <f t="shared" si="47"/>
        <v>0</v>
      </c>
      <c r="N242" s="502"/>
    </row>
    <row r="243" spans="1:14" s="503" customFormat="1" ht="12.75" customHeight="1">
      <c r="A243" s="498"/>
      <c r="B243" s="499"/>
      <c r="C243" s="500"/>
      <c r="D243" s="501"/>
      <c r="E243" s="995"/>
      <c r="F243" s="995"/>
      <c r="G243" s="995"/>
      <c r="H243" s="995"/>
      <c r="I243" s="995"/>
      <c r="J243" s="995"/>
      <c r="K243" s="995"/>
      <c r="L243" s="995"/>
      <c r="M243" s="998"/>
      <c r="N243" s="502"/>
    </row>
    <row r="244" spans="1:14" s="503" customFormat="1" ht="12.75" customHeight="1" thickBot="1">
      <c r="A244" s="507"/>
      <c r="B244" s="508">
        <v>85195</v>
      </c>
      <c r="C244" s="509" t="s">
        <v>467</v>
      </c>
      <c r="D244" s="510">
        <f>SUM(E244+M244)</f>
        <v>2000</v>
      </c>
      <c r="E244" s="132">
        <f>SUM(F244:L244)</f>
        <v>2000</v>
      </c>
      <c r="F244" s="996">
        <v>1850</v>
      </c>
      <c r="G244" s="996">
        <v>150</v>
      </c>
      <c r="H244" s="996"/>
      <c r="I244" s="996"/>
      <c r="J244" s="996"/>
      <c r="K244" s="996"/>
      <c r="L244" s="996"/>
      <c r="M244" s="999"/>
      <c r="N244" s="502"/>
    </row>
    <row r="245" spans="1:14" s="503" customFormat="1" ht="12.75" customHeight="1" thickTop="1">
      <c r="A245" s="498"/>
      <c r="B245" s="499"/>
      <c r="C245" s="500"/>
      <c r="D245" s="501"/>
      <c r="E245" s="995"/>
      <c r="F245" s="995"/>
      <c r="G245" s="995"/>
      <c r="H245" s="995"/>
      <c r="I245" s="995"/>
      <c r="J245" s="995"/>
      <c r="K245" s="995"/>
      <c r="L245" s="995"/>
      <c r="M245" s="998"/>
      <c r="N245" s="502"/>
    </row>
    <row r="246" spans="1:14" s="310" customFormat="1" ht="12" customHeight="1">
      <c r="A246" s="498">
        <v>852</v>
      </c>
      <c r="B246" s="504"/>
      <c r="C246" s="505" t="s">
        <v>297</v>
      </c>
      <c r="D246" s="511">
        <f aca="true" t="shared" si="48" ref="D246:M246">SUM(D248:D257)</f>
        <v>8260000</v>
      </c>
      <c r="E246" s="1000">
        <f t="shared" si="48"/>
        <v>8260000</v>
      </c>
      <c r="F246" s="1000">
        <f>SUM(F248:F257)</f>
        <v>347890</v>
      </c>
      <c r="G246" s="1000">
        <f>SUM(G248:G257)</f>
        <v>204000</v>
      </c>
      <c r="H246" s="1000">
        <f t="shared" si="48"/>
        <v>182000</v>
      </c>
      <c r="I246" s="1000">
        <f t="shared" si="48"/>
        <v>7526110</v>
      </c>
      <c r="J246" s="1000">
        <f>SUM(J248:J257)</f>
        <v>0</v>
      </c>
      <c r="K246" s="1000">
        <f t="shared" si="48"/>
        <v>0</v>
      </c>
      <c r="L246" s="1000">
        <f t="shared" si="48"/>
        <v>0</v>
      </c>
      <c r="M246" s="994">
        <f t="shared" si="48"/>
        <v>0</v>
      </c>
      <c r="N246" s="502"/>
    </row>
    <row r="247" spans="1:14" s="310" customFormat="1" ht="12">
      <c r="A247" s="498"/>
      <c r="B247" s="499"/>
      <c r="C247" s="500"/>
      <c r="D247" s="501"/>
      <c r="E247" s="995"/>
      <c r="F247" s="995"/>
      <c r="G247" s="995"/>
      <c r="H247" s="995"/>
      <c r="I247" s="995"/>
      <c r="J247" s="995"/>
      <c r="K247" s="995"/>
      <c r="L247" s="995"/>
      <c r="M247" s="998"/>
      <c r="N247" s="502"/>
    </row>
    <row r="248" spans="1:14" s="310" customFormat="1" ht="12">
      <c r="A248" s="498"/>
      <c r="B248" s="499">
        <v>85203</v>
      </c>
      <c r="C248" s="500" t="s">
        <v>309</v>
      </c>
      <c r="D248" s="501">
        <f>SUM(E248+M248)</f>
        <v>182000</v>
      </c>
      <c r="E248" s="995">
        <f>SUM(F248:L248)</f>
        <v>182000</v>
      </c>
      <c r="F248" s="995"/>
      <c r="G248" s="995"/>
      <c r="H248" s="995">
        <v>182000</v>
      </c>
      <c r="I248" s="995"/>
      <c r="J248" s="995"/>
      <c r="K248" s="995"/>
      <c r="L248" s="995"/>
      <c r="M248" s="998"/>
      <c r="N248" s="502"/>
    </row>
    <row r="249" spans="1:14" s="310" customFormat="1" ht="12">
      <c r="A249" s="498"/>
      <c r="B249" s="499">
        <v>85212</v>
      </c>
      <c r="C249" s="2" t="s">
        <v>601</v>
      </c>
      <c r="D249" s="501"/>
      <c r="E249" s="995"/>
      <c r="F249" s="995"/>
      <c r="G249" s="995"/>
      <c r="H249" s="995"/>
      <c r="I249" s="995"/>
      <c r="J249" s="995"/>
      <c r="K249" s="995"/>
      <c r="L249" s="995"/>
      <c r="M249" s="998"/>
      <c r="N249" s="502"/>
    </row>
    <row r="250" spans="1:14" s="310" customFormat="1" ht="12">
      <c r="A250" s="498"/>
      <c r="B250" s="499"/>
      <c r="C250" s="500" t="s">
        <v>20</v>
      </c>
      <c r="D250" s="501"/>
      <c r="E250" s="995"/>
      <c r="F250" s="995"/>
      <c r="G250" s="995"/>
      <c r="H250" s="995"/>
      <c r="I250" s="995"/>
      <c r="J250" s="995"/>
      <c r="K250" s="995"/>
      <c r="L250" s="995"/>
      <c r="M250" s="998"/>
      <c r="N250" s="502"/>
    </row>
    <row r="251" spans="1:14" s="310" customFormat="1" ht="12">
      <c r="A251" s="498"/>
      <c r="B251" s="499"/>
      <c r="C251" s="500" t="s">
        <v>348</v>
      </c>
      <c r="D251" s="501">
        <f>SUM(E251+M251)</f>
        <v>7913000</v>
      </c>
      <c r="E251" s="995">
        <f>SUM(F251:L251)</f>
        <v>7913000</v>
      </c>
      <c r="F251" s="995">
        <v>214390</v>
      </c>
      <c r="G251" s="995">
        <v>172500</v>
      </c>
      <c r="H251" s="995"/>
      <c r="I251" s="995">
        <v>7526110</v>
      </c>
      <c r="J251" s="995"/>
      <c r="K251" s="995"/>
      <c r="L251" s="995"/>
      <c r="M251" s="998"/>
      <c r="N251" s="502"/>
    </row>
    <row r="252" spans="1:14" s="310" customFormat="1" ht="12">
      <c r="A252" s="498"/>
      <c r="B252" s="499">
        <v>85213</v>
      </c>
      <c r="C252" s="500" t="s">
        <v>359</v>
      </c>
      <c r="D252" s="501"/>
      <c r="E252" s="995"/>
      <c r="F252" s="995"/>
      <c r="G252" s="995"/>
      <c r="H252" s="995"/>
      <c r="I252" s="995"/>
      <c r="J252" s="995"/>
      <c r="K252" s="995"/>
      <c r="L252" s="995"/>
      <c r="M252" s="998"/>
      <c r="N252" s="502"/>
    </row>
    <row r="253" spans="1:14" s="310" customFormat="1" ht="12">
      <c r="A253" s="498"/>
      <c r="B253" s="499"/>
      <c r="C253" s="500" t="s">
        <v>326</v>
      </c>
      <c r="D253" s="501"/>
      <c r="E253" s="995"/>
      <c r="F253" s="995"/>
      <c r="G253" s="995"/>
      <c r="H253" s="995"/>
      <c r="I253" s="995"/>
      <c r="J253" s="995"/>
      <c r="K253" s="995"/>
      <c r="L253" s="995"/>
      <c r="M253" s="998"/>
      <c r="N253" s="502"/>
    </row>
    <row r="254" spans="1:14" s="310" customFormat="1" ht="12">
      <c r="A254" s="498"/>
      <c r="B254" s="499"/>
      <c r="C254" s="500" t="s">
        <v>327</v>
      </c>
      <c r="D254" s="501"/>
      <c r="E254" s="995"/>
      <c r="F254" s="995"/>
      <c r="G254" s="995"/>
      <c r="H254" s="995"/>
      <c r="I254" s="995"/>
      <c r="J254" s="995"/>
      <c r="K254" s="995"/>
      <c r="L254" s="995"/>
      <c r="M254" s="998"/>
      <c r="N254" s="502"/>
    </row>
    <row r="255" spans="1:14" s="310" customFormat="1" ht="12">
      <c r="A255" s="498"/>
      <c r="B255" s="499"/>
      <c r="C255" s="500" t="s">
        <v>328</v>
      </c>
      <c r="D255" s="501">
        <f>SUM(E255+M255)</f>
        <v>27000</v>
      </c>
      <c r="E255" s="995">
        <f>SUM(F255:L255)</f>
        <v>27000</v>
      </c>
      <c r="F255" s="995"/>
      <c r="G255" s="995">
        <v>27000</v>
      </c>
      <c r="H255" s="995"/>
      <c r="I255" s="995"/>
      <c r="J255" s="995"/>
      <c r="K255" s="995"/>
      <c r="L255" s="995"/>
      <c r="M255" s="998"/>
      <c r="N255" s="502"/>
    </row>
    <row r="256" spans="1:14" s="310" customFormat="1" ht="12">
      <c r="A256" s="498"/>
      <c r="B256" s="499">
        <v>85228</v>
      </c>
      <c r="C256" s="500" t="s">
        <v>307</v>
      </c>
      <c r="D256" s="501"/>
      <c r="E256" s="995"/>
      <c r="F256" s="995"/>
      <c r="G256" s="995"/>
      <c r="H256" s="995"/>
      <c r="I256" s="995"/>
      <c r="J256" s="995"/>
      <c r="K256" s="995"/>
      <c r="L256" s="995"/>
      <c r="M256" s="998"/>
      <c r="N256" s="502"/>
    </row>
    <row r="257" spans="1:14" s="310" customFormat="1" ht="12.75" thickBot="1">
      <c r="A257" s="512"/>
      <c r="B257" s="513"/>
      <c r="C257" s="514" t="s">
        <v>306</v>
      </c>
      <c r="D257" s="515">
        <f>SUM(E257+M257)</f>
        <v>138000</v>
      </c>
      <c r="E257" s="995">
        <f>SUM(F257:L257)</f>
        <v>138000</v>
      </c>
      <c r="F257" s="1001">
        <v>133500</v>
      </c>
      <c r="G257" s="1001">
        <v>4500</v>
      </c>
      <c r="H257" s="1001"/>
      <c r="I257" s="1001"/>
      <c r="J257" s="1001"/>
      <c r="K257" s="1001"/>
      <c r="L257" s="1001"/>
      <c r="M257" s="1002"/>
      <c r="N257" s="502"/>
    </row>
    <row r="258" spans="1:14" s="310" customFormat="1" ht="12">
      <c r="A258" s="516"/>
      <c r="B258" s="517"/>
      <c r="C258" s="517"/>
      <c r="D258" s="517"/>
      <c r="E258" s="517"/>
      <c r="F258" s="695"/>
      <c r="G258" s="517"/>
      <c r="H258" s="695"/>
      <c r="I258" s="695"/>
      <c r="J258" s="695"/>
      <c r="K258" s="695"/>
      <c r="L258" s="517"/>
      <c r="M258" s="520"/>
      <c r="N258" s="502"/>
    </row>
    <row r="259" spans="1:14" ht="12.75">
      <c r="A259" s="30"/>
      <c r="B259" s="33"/>
      <c r="C259" s="39" t="s">
        <v>89</v>
      </c>
      <c r="D259" s="136">
        <f aca="true" t="shared" si="49" ref="D259:M259">SUM(D231+D237+D242+D246)</f>
        <v>8573780</v>
      </c>
      <c r="E259" s="136">
        <f t="shared" si="49"/>
        <v>8573780</v>
      </c>
      <c r="F259" s="136">
        <f>SUM(F231+F237+F242+F246)</f>
        <v>660980</v>
      </c>
      <c r="G259" s="136">
        <f>SUM(G231+G237+G242+G246)</f>
        <v>204690</v>
      </c>
      <c r="H259" s="136">
        <f t="shared" si="49"/>
        <v>182000</v>
      </c>
      <c r="I259" s="136">
        <f t="shared" si="49"/>
        <v>7526110</v>
      </c>
      <c r="J259" s="136">
        <f>SUM(J231+J237+J242+J246)</f>
        <v>0</v>
      </c>
      <c r="K259" s="136">
        <f t="shared" si="49"/>
        <v>0</v>
      </c>
      <c r="L259" s="136">
        <f t="shared" si="49"/>
        <v>0</v>
      </c>
      <c r="M259" s="518">
        <f t="shared" si="49"/>
        <v>0</v>
      </c>
      <c r="N259" s="92"/>
    </row>
    <row r="260" spans="1:15" ht="12.75" thickBot="1">
      <c r="A260" s="61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519"/>
      <c r="N260" s="137"/>
      <c r="O260" s="12"/>
    </row>
    <row r="261" spans="1:14" ht="12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92"/>
    </row>
    <row r="262" spans="1:14" ht="39" customHeight="1">
      <c r="A262" s="1370" t="s">
        <v>594</v>
      </c>
      <c r="B262" s="1369"/>
      <c r="C262" s="1369"/>
      <c r="D262" s="1369"/>
      <c r="E262" s="1369"/>
      <c r="F262" s="1369"/>
      <c r="G262" s="1369"/>
      <c r="H262" s="1369"/>
      <c r="I262" s="1369"/>
      <c r="J262" s="1369"/>
      <c r="K262" s="1369"/>
      <c r="L262" s="1369"/>
      <c r="M262" s="1369"/>
      <c r="N262" s="92"/>
    </row>
    <row r="263" spans="1:14" ht="12">
      <c r="A263" s="1351" t="s">
        <v>428</v>
      </c>
      <c r="B263" s="1351"/>
      <c r="C263" s="1351"/>
      <c r="D263" s="1351"/>
      <c r="E263" s="1351"/>
      <c r="F263" s="1351"/>
      <c r="G263" s="1351"/>
      <c r="H263" s="1351"/>
      <c r="I263" s="1351"/>
      <c r="J263" s="1351"/>
      <c r="K263" s="1351"/>
      <c r="L263" s="1351"/>
      <c r="M263" s="1351"/>
      <c r="N263" s="405"/>
    </row>
    <row r="264" spans="1:14" ht="1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405"/>
    </row>
    <row r="265" spans="1:14" ht="15.75" thickBo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521" t="s">
        <v>116</v>
      </c>
      <c r="N265" s="92"/>
    </row>
    <row r="266" spans="1:14" ht="12">
      <c r="A266" s="1374" t="s">
        <v>440</v>
      </c>
      <c r="B266" s="1354" t="s">
        <v>458</v>
      </c>
      <c r="C266" s="1358" t="s">
        <v>459</v>
      </c>
      <c r="D266" s="1354" t="s">
        <v>421</v>
      </c>
      <c r="E266" s="1366" t="s">
        <v>78</v>
      </c>
      <c r="F266" s="1367"/>
      <c r="G266" s="1367"/>
      <c r="H266" s="1367"/>
      <c r="I266" s="1367"/>
      <c r="J266" s="1367"/>
      <c r="K266" s="1367"/>
      <c r="L266" s="1367"/>
      <c r="M266" s="1368"/>
      <c r="N266" s="92"/>
    </row>
    <row r="267" spans="1:14" ht="12" customHeight="1">
      <c r="A267" s="1375"/>
      <c r="B267" s="1355"/>
      <c r="C267" s="1359"/>
      <c r="D267" s="1355"/>
      <c r="E267" s="1357" t="s">
        <v>338</v>
      </c>
      <c r="F267" s="1363" t="s">
        <v>78</v>
      </c>
      <c r="G267" s="1364"/>
      <c r="H267" s="1364"/>
      <c r="I267" s="1364"/>
      <c r="J267" s="1364"/>
      <c r="K267" s="1364"/>
      <c r="L267" s="1365"/>
      <c r="M267" s="1371" t="s">
        <v>337</v>
      </c>
      <c r="N267" s="92"/>
    </row>
    <row r="268" spans="1:14" ht="31.5" customHeight="1">
      <c r="A268" s="1375"/>
      <c r="B268" s="1355"/>
      <c r="C268" s="1359"/>
      <c r="D268" s="1355"/>
      <c r="E268" s="1355"/>
      <c r="F268" s="1361" t="s">
        <v>492</v>
      </c>
      <c r="G268" s="1361"/>
      <c r="H268" s="1361" t="s">
        <v>494</v>
      </c>
      <c r="I268" s="1361" t="s">
        <v>596</v>
      </c>
      <c r="J268" s="1362" t="s">
        <v>593</v>
      </c>
      <c r="K268" s="1352" t="s">
        <v>335</v>
      </c>
      <c r="L268" s="1361" t="s">
        <v>336</v>
      </c>
      <c r="M268" s="1372"/>
      <c r="N268" s="92"/>
    </row>
    <row r="269" spans="1:14" ht="201.75" customHeight="1">
      <c r="A269" s="1376"/>
      <c r="B269" s="1356"/>
      <c r="C269" s="1360"/>
      <c r="D269" s="1356"/>
      <c r="E269" s="1356"/>
      <c r="F269" s="1010" t="s">
        <v>491</v>
      </c>
      <c r="G269" s="1010" t="s">
        <v>493</v>
      </c>
      <c r="H269" s="1361"/>
      <c r="I269" s="1361"/>
      <c r="J269" s="1362"/>
      <c r="K269" s="1353"/>
      <c r="L269" s="1361"/>
      <c r="M269" s="1373"/>
      <c r="N269" s="92"/>
    </row>
    <row r="270" spans="1:14" ht="12.75" thickBot="1">
      <c r="A270" s="442">
        <v>1</v>
      </c>
      <c r="B270" s="443">
        <v>2</v>
      </c>
      <c r="C270" s="444">
        <v>3</v>
      </c>
      <c r="D270" s="443">
        <v>4</v>
      </c>
      <c r="E270" s="443">
        <v>5</v>
      </c>
      <c r="F270" s="443">
        <v>6</v>
      </c>
      <c r="G270" s="443">
        <v>7</v>
      </c>
      <c r="H270" s="443">
        <v>8</v>
      </c>
      <c r="I270" s="443">
        <v>9</v>
      </c>
      <c r="J270" s="443">
        <v>10</v>
      </c>
      <c r="K270" s="443">
        <v>11</v>
      </c>
      <c r="L270" s="443">
        <v>12</v>
      </c>
      <c r="M270" s="445">
        <v>13</v>
      </c>
      <c r="N270" s="92"/>
    </row>
    <row r="271" spans="1:14" ht="12">
      <c r="A271" s="17"/>
      <c r="B271" s="20"/>
      <c r="C271" s="16"/>
      <c r="D271" s="124"/>
      <c r="E271" s="124"/>
      <c r="F271" s="297"/>
      <c r="G271" s="137"/>
      <c r="H271" s="124"/>
      <c r="I271" s="124"/>
      <c r="J271" s="124"/>
      <c r="K271" s="124"/>
      <c r="L271" s="124"/>
      <c r="M271" s="494"/>
      <c r="N271" s="92"/>
    </row>
    <row r="272" spans="1:14" ht="12">
      <c r="A272" s="17">
        <v>600</v>
      </c>
      <c r="B272" s="42"/>
      <c r="C272" s="21" t="s">
        <v>441</v>
      </c>
      <c r="D272" s="134">
        <f aca="true" t="shared" si="50" ref="D272:M272">SUM(D274:D275)</f>
        <v>2940000</v>
      </c>
      <c r="E272" s="125">
        <f t="shared" si="50"/>
        <v>300000</v>
      </c>
      <c r="F272" s="125">
        <f t="shared" si="50"/>
        <v>0</v>
      </c>
      <c r="G272" s="125">
        <f t="shared" si="50"/>
        <v>300000</v>
      </c>
      <c r="H272" s="125">
        <f t="shared" si="50"/>
        <v>0</v>
      </c>
      <c r="I272" s="125">
        <f t="shared" si="50"/>
        <v>0</v>
      </c>
      <c r="J272" s="134">
        <f t="shared" si="50"/>
        <v>0</v>
      </c>
      <c r="K272" s="134">
        <f t="shared" si="50"/>
        <v>0</v>
      </c>
      <c r="L272" s="134">
        <f t="shared" si="50"/>
        <v>0</v>
      </c>
      <c r="M272" s="495">
        <f t="shared" si="50"/>
        <v>2640000</v>
      </c>
      <c r="N272" s="92"/>
    </row>
    <row r="273" spans="1:14" ht="12">
      <c r="A273" s="17"/>
      <c r="B273" s="49"/>
      <c r="C273" s="12"/>
      <c r="D273" s="144"/>
      <c r="E273" s="137"/>
      <c r="F273" s="48"/>
      <c r="G273" s="137"/>
      <c r="H273" s="124"/>
      <c r="I273" s="124"/>
      <c r="J273" s="124"/>
      <c r="K273" s="124"/>
      <c r="L273" s="124"/>
      <c r="M273" s="494"/>
      <c r="N273" s="92"/>
    </row>
    <row r="274" spans="1:14" ht="12">
      <c r="A274" s="17"/>
      <c r="B274" s="20">
        <v>60013</v>
      </c>
      <c r="C274" s="16" t="s">
        <v>22</v>
      </c>
      <c r="D274" s="124">
        <f>SUM(E274+M274)</f>
        <v>2640000</v>
      </c>
      <c r="E274" s="124"/>
      <c r="F274" s="48"/>
      <c r="G274" s="137"/>
      <c r="H274" s="124"/>
      <c r="I274" s="124"/>
      <c r="J274" s="124"/>
      <c r="K274" s="124"/>
      <c r="L274" s="124"/>
      <c r="M274" s="494">
        <v>2640000</v>
      </c>
      <c r="N274" s="92"/>
    </row>
    <row r="275" spans="1:14" s="35" customFormat="1" ht="13.5" thickBot="1">
      <c r="A275" s="44"/>
      <c r="B275" s="690">
        <v>60014</v>
      </c>
      <c r="C275" s="691" t="s">
        <v>77</v>
      </c>
      <c r="D275" s="132">
        <f>SUM(E275+M275)</f>
        <v>300000</v>
      </c>
      <c r="E275" s="1036">
        <f>SUM(F275:L275)</f>
        <v>300000</v>
      </c>
      <c r="F275" s="133"/>
      <c r="G275" s="1007">
        <v>300000</v>
      </c>
      <c r="H275" s="132"/>
      <c r="I275" s="132"/>
      <c r="J275" s="132"/>
      <c r="K275" s="132"/>
      <c r="L275" s="132"/>
      <c r="M275" s="497"/>
      <c r="N275" s="92"/>
    </row>
    <row r="276" spans="1:14" s="35" customFormat="1" ht="13.5" thickTop="1">
      <c r="A276" s="17"/>
      <c r="B276" s="50"/>
      <c r="C276" s="12"/>
      <c r="D276" s="124"/>
      <c r="E276" s="124"/>
      <c r="F276" s="48"/>
      <c r="G276" s="137"/>
      <c r="H276" s="124"/>
      <c r="I276" s="124"/>
      <c r="J276" s="124"/>
      <c r="K276" s="124"/>
      <c r="L276" s="124"/>
      <c r="M276" s="494"/>
      <c r="N276" s="92"/>
    </row>
    <row r="277" spans="1:14" s="35" customFormat="1" ht="12.75">
      <c r="A277" s="17">
        <v>853</v>
      </c>
      <c r="B277" s="51"/>
      <c r="C277" s="1308" t="s">
        <v>61</v>
      </c>
      <c r="D277" s="125">
        <f aca="true" t="shared" si="51" ref="D277:M277">SUM(D279)</f>
        <v>75000</v>
      </c>
      <c r="E277" s="125">
        <f t="shared" si="51"/>
        <v>75000</v>
      </c>
      <c r="F277" s="125">
        <f t="shared" si="51"/>
        <v>0</v>
      </c>
      <c r="G277" s="125">
        <f t="shared" si="51"/>
        <v>0</v>
      </c>
      <c r="H277" s="125">
        <f t="shared" si="51"/>
        <v>75000</v>
      </c>
      <c r="I277" s="125">
        <f t="shared" si="51"/>
        <v>0</v>
      </c>
      <c r="J277" s="125">
        <f t="shared" si="51"/>
        <v>0</v>
      </c>
      <c r="K277" s="125">
        <f t="shared" si="51"/>
        <v>0</v>
      </c>
      <c r="L277" s="125">
        <f t="shared" si="51"/>
        <v>0</v>
      </c>
      <c r="M277" s="495">
        <f t="shared" si="51"/>
        <v>0</v>
      </c>
      <c r="N277" s="92"/>
    </row>
    <row r="278" spans="1:14" s="35" customFormat="1" ht="12.75">
      <c r="A278" s="17"/>
      <c r="B278" s="50"/>
      <c r="C278" s="12"/>
      <c r="D278" s="124"/>
      <c r="E278" s="124"/>
      <c r="F278" s="124"/>
      <c r="G278" s="124"/>
      <c r="H278" s="124"/>
      <c r="I278" s="124"/>
      <c r="J278" s="124"/>
      <c r="K278" s="124"/>
      <c r="L278" s="124"/>
      <c r="M278" s="494"/>
      <c r="N278" s="92"/>
    </row>
    <row r="279" spans="1:14" s="35" customFormat="1" ht="13.5" thickBot="1">
      <c r="A279" s="18"/>
      <c r="B279" s="52">
        <v>85395</v>
      </c>
      <c r="C279" s="15" t="s">
        <v>275</v>
      </c>
      <c r="D279" s="135">
        <f>SUM(E279+M279)</f>
        <v>75000</v>
      </c>
      <c r="E279" s="135">
        <f>SUM(F279:L279)</f>
        <v>75000</v>
      </c>
      <c r="F279" s="135"/>
      <c r="G279" s="135"/>
      <c r="H279" s="135">
        <v>75000</v>
      </c>
      <c r="I279" s="135"/>
      <c r="J279" s="135"/>
      <c r="K279" s="135"/>
      <c r="L279" s="135"/>
      <c r="M279" s="522"/>
      <c r="N279" s="92"/>
    </row>
    <row r="280" spans="1:14" ht="12">
      <c r="A280" s="60" t="s">
        <v>419</v>
      </c>
      <c r="B280" s="296"/>
      <c r="C280" s="38"/>
      <c r="D280" s="138"/>
      <c r="E280" s="138"/>
      <c r="F280" s="138"/>
      <c r="G280" s="138"/>
      <c r="H280" s="138"/>
      <c r="I280" s="138"/>
      <c r="J280" s="138"/>
      <c r="K280" s="138"/>
      <c r="L280" s="138"/>
      <c r="M280" s="523"/>
      <c r="N280" s="92"/>
    </row>
    <row r="281" spans="1:14" ht="13.5" customHeight="1">
      <c r="A281" s="30"/>
      <c r="B281" s="298"/>
      <c r="C281" s="303" t="s">
        <v>89</v>
      </c>
      <c r="D281" s="136">
        <f aca="true" t="shared" si="52" ref="D281:M281">SUM(D272+D277)</f>
        <v>3015000</v>
      </c>
      <c r="E281" s="136">
        <f t="shared" si="52"/>
        <v>375000</v>
      </c>
      <c r="F281" s="136">
        <f t="shared" si="52"/>
        <v>0</v>
      </c>
      <c r="G281" s="136">
        <f t="shared" si="52"/>
        <v>300000</v>
      </c>
      <c r="H281" s="136">
        <f t="shared" si="52"/>
        <v>75000</v>
      </c>
      <c r="I281" s="136">
        <f t="shared" si="52"/>
        <v>0</v>
      </c>
      <c r="J281" s="136">
        <f t="shared" si="52"/>
        <v>0</v>
      </c>
      <c r="K281" s="136">
        <f t="shared" si="52"/>
        <v>0</v>
      </c>
      <c r="L281" s="136">
        <f t="shared" si="52"/>
        <v>0</v>
      </c>
      <c r="M281" s="518">
        <f t="shared" si="52"/>
        <v>2640000</v>
      </c>
      <c r="N281" s="92"/>
    </row>
    <row r="282" spans="1:14" ht="12.75" thickBot="1">
      <c r="A282" s="61"/>
      <c r="B282" s="304"/>
      <c r="C282" s="15"/>
      <c r="D282" s="135"/>
      <c r="E282" s="135"/>
      <c r="F282" s="135"/>
      <c r="G282" s="135"/>
      <c r="H282" s="135"/>
      <c r="I282" s="135"/>
      <c r="J282" s="135"/>
      <c r="K282" s="135"/>
      <c r="L282" s="135"/>
      <c r="M282" s="522"/>
      <c r="N282" s="92"/>
    </row>
    <row r="283" ht="12.75" customHeight="1">
      <c r="N283" s="92"/>
    </row>
    <row r="284" ht="12.75" customHeight="1">
      <c r="N284" s="92"/>
    </row>
    <row r="285" spans="1:14" s="91" customFormat="1" ht="15">
      <c r="A285" s="1369" t="s">
        <v>50</v>
      </c>
      <c r="B285" s="1369"/>
      <c r="C285" s="1369"/>
      <c r="D285" s="1369"/>
      <c r="E285" s="1369"/>
      <c r="F285" s="1369"/>
      <c r="G285" s="1369"/>
      <c r="H285" s="1369"/>
      <c r="I285" s="1369"/>
      <c r="J285" s="1369"/>
      <c r="K285" s="1369"/>
      <c r="L285" s="1369"/>
      <c r="M285" s="1369"/>
      <c r="N285" s="92"/>
    </row>
    <row r="286" spans="1:14" ht="12.75" customHeight="1">
      <c r="A286" s="1351" t="s">
        <v>428</v>
      </c>
      <c r="B286" s="1351"/>
      <c r="C286" s="1351"/>
      <c r="D286" s="1351"/>
      <c r="E286" s="1351"/>
      <c r="F286" s="1351"/>
      <c r="G286" s="1351"/>
      <c r="H286" s="1351"/>
      <c r="I286" s="1351"/>
      <c r="J286" s="1351"/>
      <c r="K286" s="1351"/>
      <c r="L286" s="1351"/>
      <c r="M286" s="1351"/>
      <c r="N286" s="405"/>
    </row>
    <row r="287" spans="1:14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405"/>
    </row>
    <row r="288" spans="1:14" ht="12.75" customHeight="1" thickBo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58" t="s">
        <v>116</v>
      </c>
      <c r="N288" s="127"/>
    </row>
    <row r="289" spans="1:14" ht="12">
      <c r="A289" s="1374" t="s">
        <v>440</v>
      </c>
      <c r="B289" s="1354" t="s">
        <v>458</v>
      </c>
      <c r="C289" s="1358" t="s">
        <v>459</v>
      </c>
      <c r="D289" s="1354" t="s">
        <v>421</v>
      </c>
      <c r="E289" s="1366" t="s">
        <v>78</v>
      </c>
      <c r="F289" s="1367"/>
      <c r="G289" s="1367"/>
      <c r="H289" s="1367"/>
      <c r="I289" s="1367"/>
      <c r="J289" s="1367"/>
      <c r="K289" s="1367"/>
      <c r="L289" s="1367"/>
      <c r="M289" s="1368"/>
      <c r="N289" s="92"/>
    </row>
    <row r="290" spans="1:14" ht="12" customHeight="1">
      <c r="A290" s="1375"/>
      <c r="B290" s="1355"/>
      <c r="C290" s="1359"/>
      <c r="D290" s="1355"/>
      <c r="E290" s="1357" t="s">
        <v>338</v>
      </c>
      <c r="F290" s="1363" t="s">
        <v>78</v>
      </c>
      <c r="G290" s="1364"/>
      <c r="H290" s="1364"/>
      <c r="I290" s="1364"/>
      <c r="J290" s="1364"/>
      <c r="K290" s="1364"/>
      <c r="L290" s="1365"/>
      <c r="M290" s="1371" t="s">
        <v>337</v>
      </c>
      <c r="N290" s="92"/>
    </row>
    <row r="291" spans="1:14" ht="31.5" customHeight="1">
      <c r="A291" s="1375"/>
      <c r="B291" s="1355"/>
      <c r="C291" s="1359"/>
      <c r="D291" s="1355"/>
      <c r="E291" s="1355"/>
      <c r="F291" s="1361" t="s">
        <v>492</v>
      </c>
      <c r="G291" s="1361"/>
      <c r="H291" s="1361" t="s">
        <v>494</v>
      </c>
      <c r="I291" s="1361" t="s">
        <v>596</v>
      </c>
      <c r="J291" s="1362" t="s">
        <v>593</v>
      </c>
      <c r="K291" s="1352" t="s">
        <v>335</v>
      </c>
      <c r="L291" s="1361" t="s">
        <v>336</v>
      </c>
      <c r="M291" s="1372"/>
      <c r="N291" s="92"/>
    </row>
    <row r="292" spans="1:14" ht="201.75" customHeight="1">
      <c r="A292" s="1376"/>
      <c r="B292" s="1356"/>
      <c r="C292" s="1360"/>
      <c r="D292" s="1356"/>
      <c r="E292" s="1356"/>
      <c r="F292" s="1010" t="s">
        <v>491</v>
      </c>
      <c r="G292" s="1010" t="s">
        <v>493</v>
      </c>
      <c r="H292" s="1361"/>
      <c r="I292" s="1361"/>
      <c r="J292" s="1362"/>
      <c r="K292" s="1353"/>
      <c r="L292" s="1361"/>
      <c r="M292" s="1373"/>
      <c r="N292" s="92"/>
    </row>
    <row r="293" spans="1:14" ht="12.75" thickBot="1">
      <c r="A293" s="442">
        <v>1</v>
      </c>
      <c r="B293" s="443">
        <v>2</v>
      </c>
      <c r="C293" s="444">
        <v>3</v>
      </c>
      <c r="D293" s="443">
        <v>4</v>
      </c>
      <c r="E293" s="443">
        <v>5</v>
      </c>
      <c r="F293" s="443">
        <v>6</v>
      </c>
      <c r="G293" s="443">
        <v>7</v>
      </c>
      <c r="H293" s="443">
        <v>8</v>
      </c>
      <c r="I293" s="443">
        <v>9</v>
      </c>
      <c r="J293" s="443">
        <v>10</v>
      </c>
      <c r="K293" s="443">
        <v>11</v>
      </c>
      <c r="L293" s="443">
        <v>12</v>
      </c>
      <c r="M293" s="445">
        <v>13</v>
      </c>
      <c r="N293" s="92"/>
    </row>
    <row r="294" spans="1:14" ht="12">
      <c r="A294" s="17"/>
      <c r="B294" s="20"/>
      <c r="C294" s="16"/>
      <c r="D294" s="124"/>
      <c r="E294" s="124"/>
      <c r="F294" s="124"/>
      <c r="G294" s="124"/>
      <c r="H294" s="124"/>
      <c r="I294" s="124"/>
      <c r="J294" s="124"/>
      <c r="K294" s="124"/>
      <c r="L294" s="124"/>
      <c r="M294" s="494"/>
      <c r="N294" s="92"/>
    </row>
    <row r="295" spans="1:14" ht="12">
      <c r="A295" s="17">
        <v>600</v>
      </c>
      <c r="B295" s="42"/>
      <c r="C295" s="21" t="s">
        <v>441</v>
      </c>
      <c r="D295" s="125">
        <f aca="true" t="shared" si="53" ref="D295:M295">SUM(D297:D297)</f>
        <v>427407</v>
      </c>
      <c r="E295" s="125">
        <f t="shared" si="53"/>
        <v>0</v>
      </c>
      <c r="F295" s="125">
        <f t="shared" si="53"/>
        <v>0</v>
      </c>
      <c r="G295" s="125">
        <f t="shared" si="53"/>
        <v>0</v>
      </c>
      <c r="H295" s="125">
        <f t="shared" si="53"/>
        <v>0</v>
      </c>
      <c r="I295" s="125">
        <f t="shared" si="53"/>
        <v>0</v>
      </c>
      <c r="J295" s="125">
        <f t="shared" si="53"/>
        <v>0</v>
      </c>
      <c r="K295" s="125">
        <f t="shared" si="53"/>
        <v>0</v>
      </c>
      <c r="L295" s="125">
        <f t="shared" si="53"/>
        <v>0</v>
      </c>
      <c r="M295" s="495">
        <f t="shared" si="53"/>
        <v>427407</v>
      </c>
      <c r="N295" s="92"/>
    </row>
    <row r="296" spans="1:14" ht="12">
      <c r="A296" s="17"/>
      <c r="B296" s="49"/>
      <c r="C296" s="12"/>
      <c r="D296" s="124"/>
      <c r="E296" s="124"/>
      <c r="F296" s="124"/>
      <c r="G296" s="124"/>
      <c r="H296" s="124"/>
      <c r="I296" s="124"/>
      <c r="J296" s="124"/>
      <c r="K296" s="124"/>
      <c r="L296" s="124"/>
      <c r="M296" s="494"/>
      <c r="N296" s="92"/>
    </row>
    <row r="297" spans="1:14" s="35" customFormat="1" ht="13.5" thickBot="1">
      <c r="A297" s="17"/>
      <c r="B297" s="50">
        <v>60013</v>
      </c>
      <c r="C297" s="12" t="s">
        <v>22</v>
      </c>
      <c r="D297" s="124">
        <f>SUM(E297+M297)</f>
        <v>427407</v>
      </c>
      <c r="E297" s="124"/>
      <c r="F297" s="124"/>
      <c r="G297" s="124"/>
      <c r="H297" s="124"/>
      <c r="I297" s="124"/>
      <c r="J297" s="124"/>
      <c r="K297" s="124"/>
      <c r="L297" s="124"/>
      <c r="M297" s="494">
        <f>453369-25962</f>
        <v>427407</v>
      </c>
      <c r="N297" s="92"/>
    </row>
    <row r="298" spans="1:14" ht="12">
      <c r="A298" s="60" t="s">
        <v>419</v>
      </c>
      <c r="B298" s="296"/>
      <c r="C298" s="38"/>
      <c r="D298" s="138"/>
      <c r="E298" s="138"/>
      <c r="F298" s="138"/>
      <c r="G298" s="138"/>
      <c r="H298" s="138"/>
      <c r="I298" s="138"/>
      <c r="J298" s="138"/>
      <c r="K298" s="138"/>
      <c r="L298" s="138"/>
      <c r="M298" s="523"/>
      <c r="N298" s="92"/>
    </row>
    <row r="299" spans="1:14" ht="12.75">
      <c r="A299" s="30"/>
      <c r="B299" s="298"/>
      <c r="C299" s="303" t="s">
        <v>89</v>
      </c>
      <c r="D299" s="136">
        <f>SUM(D295)</f>
        <v>427407</v>
      </c>
      <c r="E299" s="136">
        <f>SUM(E295)</f>
        <v>0</v>
      </c>
      <c r="F299" s="136">
        <f aca="true" t="shared" si="54" ref="F299:L299">SUM(F295)</f>
        <v>0</v>
      </c>
      <c r="G299" s="136">
        <f t="shared" si="54"/>
        <v>0</v>
      </c>
      <c r="H299" s="136">
        <f t="shared" si="54"/>
        <v>0</v>
      </c>
      <c r="I299" s="136">
        <f t="shared" si="54"/>
        <v>0</v>
      </c>
      <c r="J299" s="136">
        <f t="shared" si="54"/>
        <v>0</v>
      </c>
      <c r="K299" s="136">
        <f t="shared" si="54"/>
        <v>0</v>
      </c>
      <c r="L299" s="136">
        <f t="shared" si="54"/>
        <v>0</v>
      </c>
      <c r="M299" s="518">
        <f>SUM(M295)</f>
        <v>427407</v>
      </c>
      <c r="N299" s="92"/>
    </row>
    <row r="300" spans="1:14" ht="12.75" customHeight="1" thickBot="1">
      <c r="A300" s="61"/>
      <c r="B300" s="304"/>
      <c r="C300" s="15"/>
      <c r="D300" s="135"/>
      <c r="E300" s="135"/>
      <c r="F300" s="135"/>
      <c r="G300" s="135"/>
      <c r="H300" s="135"/>
      <c r="I300" s="135"/>
      <c r="J300" s="135"/>
      <c r="K300" s="135"/>
      <c r="L300" s="135"/>
      <c r="M300" s="522"/>
      <c r="N300" s="92"/>
    </row>
    <row r="301" ht="12.75" customHeight="1">
      <c r="N301" s="92"/>
    </row>
    <row r="302" spans="1:14" ht="39" customHeight="1">
      <c r="A302" s="1370" t="s">
        <v>595</v>
      </c>
      <c r="B302" s="1369"/>
      <c r="C302" s="1369"/>
      <c r="D302" s="1369"/>
      <c r="E302" s="1369"/>
      <c r="F302" s="1369"/>
      <c r="G302" s="1369"/>
      <c r="H302" s="1369"/>
      <c r="I302" s="1369"/>
      <c r="J302" s="1369"/>
      <c r="K302" s="1369"/>
      <c r="L302" s="1369"/>
      <c r="M302" s="1369"/>
      <c r="N302" s="92"/>
    </row>
    <row r="303" spans="1:14" ht="12">
      <c r="A303" s="1351" t="s">
        <v>428</v>
      </c>
      <c r="B303" s="1351"/>
      <c r="C303" s="1351"/>
      <c r="D303" s="1351"/>
      <c r="E303" s="1351"/>
      <c r="F303" s="1351"/>
      <c r="G303" s="1351"/>
      <c r="H303" s="1351"/>
      <c r="I303" s="1351"/>
      <c r="J303" s="1351"/>
      <c r="K303" s="1351"/>
      <c r="L303" s="1351"/>
      <c r="M303" s="1351"/>
      <c r="N303" s="405"/>
    </row>
    <row r="304" spans="1:14" ht="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405"/>
    </row>
    <row r="305" spans="1:14" ht="15.75" thickBo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521" t="s">
        <v>116</v>
      </c>
      <c r="N305" s="92"/>
    </row>
    <row r="306" spans="1:14" ht="12">
      <c r="A306" s="1374" t="s">
        <v>440</v>
      </c>
      <c r="B306" s="1354" t="s">
        <v>458</v>
      </c>
      <c r="C306" s="1358" t="s">
        <v>459</v>
      </c>
      <c r="D306" s="1354" t="s">
        <v>421</v>
      </c>
      <c r="E306" s="1366" t="s">
        <v>78</v>
      </c>
      <c r="F306" s="1367"/>
      <c r="G306" s="1367"/>
      <c r="H306" s="1367"/>
      <c r="I306" s="1367"/>
      <c r="J306" s="1367"/>
      <c r="K306" s="1367"/>
      <c r="L306" s="1367"/>
      <c r="M306" s="1368"/>
      <c r="N306" s="92"/>
    </row>
    <row r="307" spans="1:14" ht="12" customHeight="1">
      <c r="A307" s="1375"/>
      <c r="B307" s="1355"/>
      <c r="C307" s="1359"/>
      <c r="D307" s="1355"/>
      <c r="E307" s="1357" t="s">
        <v>338</v>
      </c>
      <c r="F307" s="1363" t="s">
        <v>78</v>
      </c>
      <c r="G307" s="1364"/>
      <c r="H307" s="1364"/>
      <c r="I307" s="1364"/>
      <c r="J307" s="1364"/>
      <c r="K307" s="1364"/>
      <c r="L307" s="1365"/>
      <c r="M307" s="1371" t="s">
        <v>337</v>
      </c>
      <c r="N307" s="92"/>
    </row>
    <row r="308" spans="1:14" ht="31.5" customHeight="1">
      <c r="A308" s="1375"/>
      <c r="B308" s="1355"/>
      <c r="C308" s="1359"/>
      <c r="D308" s="1355"/>
      <c r="E308" s="1355"/>
      <c r="F308" s="1361" t="s">
        <v>492</v>
      </c>
      <c r="G308" s="1361"/>
      <c r="H308" s="1361" t="s">
        <v>494</v>
      </c>
      <c r="I308" s="1361" t="s">
        <v>596</v>
      </c>
      <c r="J308" s="1362" t="s">
        <v>593</v>
      </c>
      <c r="K308" s="1352" t="s">
        <v>335</v>
      </c>
      <c r="L308" s="1361" t="s">
        <v>336</v>
      </c>
      <c r="M308" s="1372"/>
      <c r="N308" s="92"/>
    </row>
    <row r="309" spans="1:14" ht="201.75" customHeight="1">
      <c r="A309" s="1376"/>
      <c r="B309" s="1356"/>
      <c r="C309" s="1360"/>
      <c r="D309" s="1356"/>
      <c r="E309" s="1356"/>
      <c r="F309" s="1010" t="s">
        <v>491</v>
      </c>
      <c r="G309" s="1010" t="s">
        <v>493</v>
      </c>
      <c r="H309" s="1361"/>
      <c r="I309" s="1361"/>
      <c r="J309" s="1362"/>
      <c r="K309" s="1353"/>
      <c r="L309" s="1361"/>
      <c r="M309" s="1373"/>
      <c r="N309" s="92"/>
    </row>
    <row r="310" spans="1:14" ht="12.75" thickBot="1">
      <c r="A310" s="442">
        <v>1</v>
      </c>
      <c r="B310" s="443">
        <v>2</v>
      </c>
      <c r="C310" s="444">
        <v>3</v>
      </c>
      <c r="D310" s="443">
        <v>4</v>
      </c>
      <c r="E310" s="443">
        <v>5</v>
      </c>
      <c r="F310" s="443">
        <v>6</v>
      </c>
      <c r="G310" s="443">
        <v>7</v>
      </c>
      <c r="H310" s="443">
        <v>8</v>
      </c>
      <c r="I310" s="443">
        <v>9</v>
      </c>
      <c r="J310" s="443">
        <v>10</v>
      </c>
      <c r="K310" s="443">
        <v>11</v>
      </c>
      <c r="L310" s="443">
        <v>12</v>
      </c>
      <c r="M310" s="445">
        <v>13</v>
      </c>
      <c r="N310" s="92"/>
    </row>
    <row r="311" spans="1:14" s="35" customFormat="1" ht="12.75">
      <c r="A311" s="1011"/>
      <c r="B311" s="1013"/>
      <c r="C311" s="1014"/>
      <c r="D311" s="995"/>
      <c r="E311" s="995"/>
      <c r="F311" s="995"/>
      <c r="G311" s="995"/>
      <c r="H311" s="995"/>
      <c r="I311" s="995"/>
      <c r="J311" s="995"/>
      <c r="K311" s="995"/>
      <c r="L311" s="995"/>
      <c r="M311" s="992"/>
      <c r="N311" s="816"/>
    </row>
    <row r="312" spans="1:14" s="35" customFormat="1" ht="12.75">
      <c r="A312" s="1011">
        <v>853</v>
      </c>
      <c r="B312" s="1012"/>
      <c r="C312" s="1308" t="s">
        <v>61</v>
      </c>
      <c r="D312" s="993">
        <f aca="true" t="shared" si="55" ref="D312:M312">SUM(D314)</f>
        <v>1174802</v>
      </c>
      <c r="E312" s="993">
        <f t="shared" si="55"/>
        <v>1174802</v>
      </c>
      <c r="F312" s="993">
        <f t="shared" si="55"/>
        <v>0</v>
      </c>
      <c r="G312" s="993">
        <f t="shared" si="55"/>
        <v>0</v>
      </c>
      <c r="H312" s="993">
        <f t="shared" si="55"/>
        <v>694306</v>
      </c>
      <c r="I312" s="993">
        <f t="shared" si="55"/>
        <v>0</v>
      </c>
      <c r="J312" s="993">
        <f t="shared" si="55"/>
        <v>480496</v>
      </c>
      <c r="K312" s="993">
        <f t="shared" si="55"/>
        <v>0</v>
      </c>
      <c r="L312" s="993">
        <f t="shared" si="55"/>
        <v>0</v>
      </c>
      <c r="M312" s="994">
        <f t="shared" si="55"/>
        <v>0</v>
      </c>
      <c r="N312" s="816"/>
    </row>
    <row r="313" spans="1:14" s="35" customFormat="1" ht="12.75">
      <c r="A313" s="1011"/>
      <c r="B313" s="1013"/>
      <c r="C313" s="1014"/>
      <c r="D313" s="995"/>
      <c r="E313" s="995"/>
      <c r="F313" s="995"/>
      <c r="G313" s="995"/>
      <c r="H313" s="995"/>
      <c r="I313" s="995"/>
      <c r="J313" s="995"/>
      <c r="K313" s="995"/>
      <c r="L313" s="995"/>
      <c r="M313" s="992"/>
      <c r="N313" s="816"/>
    </row>
    <row r="314" spans="1:14" s="35" customFormat="1" ht="13.5" thickBot="1">
      <c r="A314" s="1015"/>
      <c r="B314" s="1016">
        <v>85395</v>
      </c>
      <c r="C314" s="1026" t="s">
        <v>275</v>
      </c>
      <c r="D314" s="1001">
        <f>SUM(E314+M314)</f>
        <v>1174802</v>
      </c>
      <c r="E314" s="1001">
        <f>SUM(F314:L314)</f>
        <v>1174802</v>
      </c>
      <c r="F314" s="1001"/>
      <c r="G314" s="1001"/>
      <c r="H314" s="1001">
        <v>694306</v>
      </c>
      <c r="I314" s="1001"/>
      <c r="J314" s="1001">
        <v>480496</v>
      </c>
      <c r="K314" s="1001"/>
      <c r="L314" s="1001"/>
      <c r="M314" s="1018"/>
      <c r="N314" s="816"/>
    </row>
    <row r="315" spans="1:14" s="817" customFormat="1" ht="12">
      <c r="A315" s="1019" t="s">
        <v>419</v>
      </c>
      <c r="B315" s="1020"/>
      <c r="C315" s="1021"/>
      <c r="D315" s="1022"/>
      <c r="E315" s="1022"/>
      <c r="F315" s="1022"/>
      <c r="G315" s="1022"/>
      <c r="H315" s="1022"/>
      <c r="I315" s="1022"/>
      <c r="J315" s="1022"/>
      <c r="K315" s="1022"/>
      <c r="L315" s="1022"/>
      <c r="M315" s="1023"/>
      <c r="N315" s="816"/>
    </row>
    <row r="316" spans="1:14" s="817" customFormat="1" ht="13.5" customHeight="1">
      <c r="A316" s="30"/>
      <c r="B316" s="298"/>
      <c r="C316" s="303" t="s">
        <v>89</v>
      </c>
      <c r="D316" s="136">
        <f aca="true" t="shared" si="56" ref="D316:M316">SUM(D312)</f>
        <v>1174802</v>
      </c>
      <c r="E316" s="136">
        <f t="shared" si="56"/>
        <v>1174802</v>
      </c>
      <c r="F316" s="136">
        <f t="shared" si="56"/>
        <v>0</v>
      </c>
      <c r="G316" s="136"/>
      <c r="H316" s="136">
        <f t="shared" si="56"/>
        <v>694306</v>
      </c>
      <c r="I316" s="136">
        <f t="shared" si="56"/>
        <v>0</v>
      </c>
      <c r="J316" s="136">
        <f t="shared" si="56"/>
        <v>480496</v>
      </c>
      <c r="K316" s="136">
        <f t="shared" si="56"/>
        <v>0</v>
      </c>
      <c r="L316" s="136">
        <f t="shared" si="56"/>
        <v>0</v>
      </c>
      <c r="M316" s="518">
        <f t="shared" si="56"/>
        <v>0</v>
      </c>
      <c r="N316" s="816"/>
    </row>
    <row r="317" spans="1:14" s="817" customFormat="1" ht="12.75" thickBot="1">
      <c r="A317" s="1024"/>
      <c r="B317" s="1025"/>
      <c r="C317" s="1017"/>
      <c r="D317" s="1001"/>
      <c r="E317" s="1001"/>
      <c r="F317" s="1001"/>
      <c r="G317" s="1001"/>
      <c r="H317" s="1001"/>
      <c r="I317" s="1001"/>
      <c r="J317" s="1001"/>
      <c r="K317" s="1001"/>
      <c r="L317" s="1001"/>
      <c r="M317" s="1018"/>
      <c r="N317" s="816"/>
    </row>
    <row r="318" ht="12">
      <c r="N318" s="92"/>
    </row>
    <row r="319" ht="12">
      <c r="N319" s="92"/>
    </row>
    <row r="320" ht="12">
      <c r="N320" s="92"/>
    </row>
    <row r="321" ht="12">
      <c r="N321" s="92"/>
    </row>
    <row r="322" ht="12">
      <c r="N322" s="92"/>
    </row>
    <row r="323" ht="12">
      <c r="N323" s="92"/>
    </row>
    <row r="324" ht="12">
      <c r="N324" s="92"/>
    </row>
    <row r="325" ht="12">
      <c r="N325" s="92"/>
    </row>
    <row r="326" ht="12">
      <c r="N326" s="92"/>
    </row>
    <row r="327" ht="12">
      <c r="N327" s="92"/>
    </row>
    <row r="328" ht="12">
      <c r="N328" s="92"/>
    </row>
    <row r="329" ht="12">
      <c r="N329" s="92"/>
    </row>
    <row r="330" ht="12">
      <c r="N330" s="92"/>
    </row>
    <row r="331" ht="12">
      <c r="N331" s="92"/>
    </row>
    <row r="332" ht="12">
      <c r="N332" s="92"/>
    </row>
    <row r="333" ht="12">
      <c r="N333" s="92"/>
    </row>
    <row r="334" ht="12">
      <c r="N334" s="92"/>
    </row>
    <row r="335" ht="12">
      <c r="N335" s="92"/>
    </row>
    <row r="336" ht="12">
      <c r="N336" s="92"/>
    </row>
    <row r="337" ht="12">
      <c r="N337" s="92"/>
    </row>
    <row r="338" ht="12">
      <c r="N338" s="92"/>
    </row>
    <row r="339" ht="12">
      <c r="N339" s="92"/>
    </row>
    <row r="340" ht="12">
      <c r="N340" s="92"/>
    </row>
    <row r="341" ht="12">
      <c r="N341" s="92"/>
    </row>
    <row r="342" ht="12">
      <c r="N342" s="92"/>
    </row>
    <row r="343" ht="12">
      <c r="N343" s="92"/>
    </row>
    <row r="344" ht="12">
      <c r="N344" s="92"/>
    </row>
    <row r="345" ht="12">
      <c r="N345" s="92"/>
    </row>
    <row r="346" ht="12">
      <c r="N346" s="92"/>
    </row>
    <row r="347" ht="12">
      <c r="N347" s="92"/>
    </row>
    <row r="348" ht="12">
      <c r="N348" s="92"/>
    </row>
    <row r="349" ht="12">
      <c r="N349" s="92"/>
    </row>
    <row r="350" ht="12">
      <c r="N350" s="92"/>
    </row>
    <row r="351" ht="12">
      <c r="N351" s="92"/>
    </row>
    <row r="352" ht="12">
      <c r="N352" s="92"/>
    </row>
    <row r="353" ht="12">
      <c r="N353" s="92"/>
    </row>
    <row r="354" ht="12">
      <c r="N354" s="92"/>
    </row>
    <row r="355" ht="12">
      <c r="N355" s="92"/>
    </row>
    <row r="356" ht="12">
      <c r="N356" s="92"/>
    </row>
    <row r="357" ht="12">
      <c r="N357" s="92"/>
    </row>
    <row r="358" ht="12">
      <c r="N358" s="92"/>
    </row>
    <row r="359" ht="12">
      <c r="N359" s="92"/>
    </row>
    <row r="360" ht="12">
      <c r="N360" s="92"/>
    </row>
    <row r="361" ht="12">
      <c r="N361" s="92"/>
    </row>
    <row r="362" ht="12">
      <c r="N362" s="92"/>
    </row>
    <row r="363" ht="12">
      <c r="N363" s="92"/>
    </row>
    <row r="364" ht="12">
      <c r="N364" s="92"/>
    </row>
    <row r="365" ht="12">
      <c r="N365" s="92"/>
    </row>
    <row r="366" ht="12">
      <c r="N366" s="92"/>
    </row>
    <row r="367" ht="12">
      <c r="N367" s="92"/>
    </row>
    <row r="368" ht="12">
      <c r="N368" s="92"/>
    </row>
    <row r="369" ht="12">
      <c r="N369" s="92"/>
    </row>
    <row r="370" ht="12">
      <c r="N370" s="92"/>
    </row>
    <row r="371" ht="12">
      <c r="N371" s="92"/>
    </row>
    <row r="372" ht="12">
      <c r="N372" s="92"/>
    </row>
    <row r="373" ht="12">
      <c r="N373" s="92"/>
    </row>
    <row r="374" ht="12">
      <c r="N374" s="92"/>
    </row>
    <row r="375" ht="12">
      <c r="N375" s="92"/>
    </row>
    <row r="376" ht="12">
      <c r="N376" s="92"/>
    </row>
    <row r="377" ht="12">
      <c r="N377" s="92"/>
    </row>
    <row r="378" ht="12">
      <c r="N378" s="92"/>
    </row>
    <row r="379" ht="12">
      <c r="N379" s="92"/>
    </row>
    <row r="380" ht="12">
      <c r="N380" s="92"/>
    </row>
    <row r="381" ht="12">
      <c r="N381" s="92"/>
    </row>
    <row r="382" ht="12">
      <c r="N382" s="92"/>
    </row>
    <row r="383" ht="12">
      <c r="N383" s="92"/>
    </row>
    <row r="384" ht="12">
      <c r="N384" s="92"/>
    </row>
    <row r="385" ht="12">
      <c r="N385" s="92"/>
    </row>
    <row r="386" ht="12">
      <c r="N386" s="92"/>
    </row>
    <row r="387" ht="12">
      <c r="N387" s="92"/>
    </row>
    <row r="388" ht="12">
      <c r="N388" s="92"/>
    </row>
    <row r="389" ht="12">
      <c r="N389" s="92"/>
    </row>
    <row r="390" ht="12">
      <c r="N390" s="92"/>
    </row>
    <row r="391" ht="12">
      <c r="N391" s="92"/>
    </row>
    <row r="392" ht="12">
      <c r="N392" s="92"/>
    </row>
    <row r="393" ht="12">
      <c r="N393" s="92"/>
    </row>
    <row r="394" ht="12">
      <c r="N394" s="92"/>
    </row>
    <row r="395" ht="12">
      <c r="N395" s="92"/>
    </row>
    <row r="396" ht="12">
      <c r="N396" s="92"/>
    </row>
    <row r="397" ht="12">
      <c r="N397" s="92"/>
    </row>
    <row r="398" ht="12">
      <c r="N398" s="92"/>
    </row>
    <row r="399" ht="12">
      <c r="N399" s="92"/>
    </row>
    <row r="400" ht="12">
      <c r="N400" s="92"/>
    </row>
    <row r="401" ht="12">
      <c r="N401" s="92"/>
    </row>
    <row r="402" ht="12">
      <c r="N402" s="92"/>
    </row>
    <row r="403" ht="12">
      <c r="N403" s="92"/>
    </row>
    <row r="404" ht="12">
      <c r="N404" s="92"/>
    </row>
    <row r="405" ht="12">
      <c r="N405" s="92"/>
    </row>
    <row r="406" ht="12">
      <c r="N406" s="92"/>
    </row>
    <row r="407" ht="12">
      <c r="N407" s="92"/>
    </row>
    <row r="408" ht="12">
      <c r="N408" s="92"/>
    </row>
    <row r="409" ht="12">
      <c r="N409" s="92"/>
    </row>
    <row r="410" ht="12">
      <c r="N410" s="92"/>
    </row>
    <row r="411" ht="12">
      <c r="N411" s="92"/>
    </row>
    <row r="412" ht="12">
      <c r="N412" s="92"/>
    </row>
    <row r="413" ht="12">
      <c r="N413" s="92"/>
    </row>
    <row r="414" ht="12">
      <c r="N414" s="92"/>
    </row>
    <row r="415" ht="12">
      <c r="N415" s="92"/>
    </row>
    <row r="416" ht="12">
      <c r="N416" s="92"/>
    </row>
    <row r="417" ht="12">
      <c r="N417" s="92"/>
    </row>
    <row r="418" ht="12">
      <c r="N418" s="92"/>
    </row>
    <row r="419" ht="12">
      <c r="N419" s="92"/>
    </row>
    <row r="420" ht="12">
      <c r="N420" s="92"/>
    </row>
    <row r="421" ht="12">
      <c r="N421" s="92"/>
    </row>
    <row r="422" ht="12">
      <c r="N422" s="92"/>
    </row>
    <row r="423" ht="12">
      <c r="N423" s="92"/>
    </row>
    <row r="424" ht="12">
      <c r="N424" s="92"/>
    </row>
    <row r="425" ht="12">
      <c r="N425" s="92"/>
    </row>
    <row r="426" ht="12">
      <c r="N426" s="92"/>
    </row>
    <row r="427" ht="12">
      <c r="N427" s="92"/>
    </row>
    <row r="428" ht="12">
      <c r="N428" s="92"/>
    </row>
    <row r="429" ht="12">
      <c r="N429" s="92"/>
    </row>
    <row r="430" ht="12">
      <c r="N430" s="92"/>
    </row>
    <row r="431" ht="12">
      <c r="N431" s="92"/>
    </row>
    <row r="432" ht="12">
      <c r="N432" s="92"/>
    </row>
    <row r="433" ht="12">
      <c r="N433" s="92"/>
    </row>
    <row r="434" ht="12">
      <c r="N434" s="92"/>
    </row>
    <row r="435" ht="12">
      <c r="N435" s="92"/>
    </row>
    <row r="436" ht="12">
      <c r="N436" s="92"/>
    </row>
    <row r="437" ht="12">
      <c r="N437" s="92"/>
    </row>
    <row r="438" ht="12">
      <c r="N438" s="92"/>
    </row>
    <row r="439" ht="12">
      <c r="N439" s="92"/>
    </row>
    <row r="440" ht="12">
      <c r="N440" s="92"/>
    </row>
    <row r="441" ht="12">
      <c r="N441" s="92"/>
    </row>
    <row r="442" ht="12">
      <c r="N442" s="92"/>
    </row>
    <row r="443" ht="12">
      <c r="N443" s="92"/>
    </row>
    <row r="444" ht="12">
      <c r="N444" s="92"/>
    </row>
    <row r="445" ht="12">
      <c r="N445" s="92"/>
    </row>
    <row r="446" ht="12">
      <c r="N446" s="92"/>
    </row>
    <row r="447" ht="12">
      <c r="N447" s="92"/>
    </row>
    <row r="448" ht="12">
      <c r="N448" s="92"/>
    </row>
    <row r="449" ht="12">
      <c r="N449" s="92"/>
    </row>
    <row r="450" ht="12">
      <c r="N450" s="92"/>
    </row>
    <row r="451" ht="12">
      <c r="N451" s="92"/>
    </row>
  </sheetData>
  <sheetProtection/>
  <mergeCells count="97">
    <mergeCell ref="I308:I309"/>
    <mergeCell ref="A67:M67"/>
    <mergeCell ref="I7:I8"/>
    <mergeCell ref="I72:I73"/>
    <mergeCell ref="I227:I228"/>
    <mergeCell ref="I268:I269"/>
    <mergeCell ref="I291:I292"/>
    <mergeCell ref="F7:G7"/>
    <mergeCell ref="A70:A73"/>
    <mergeCell ref="F227:G227"/>
    <mergeCell ref="M6:M8"/>
    <mergeCell ref="F6:L6"/>
    <mergeCell ref="A66:M66"/>
    <mergeCell ref="A222:M222"/>
    <mergeCell ref="M68:M69"/>
    <mergeCell ref="H72:H73"/>
    <mergeCell ref="E71:E73"/>
    <mergeCell ref="J72:J73"/>
    <mergeCell ref="F71:L71"/>
    <mergeCell ref="K72:K73"/>
    <mergeCell ref="L1:M1"/>
    <mergeCell ref="A2:M2"/>
    <mergeCell ref="A3:M3"/>
    <mergeCell ref="B5:B8"/>
    <mergeCell ref="C5:C8"/>
    <mergeCell ref="E6:E8"/>
    <mergeCell ref="K7:K8"/>
    <mergeCell ref="L7:L8"/>
    <mergeCell ref="E5:M5"/>
    <mergeCell ref="D5:D8"/>
    <mergeCell ref="A225:A228"/>
    <mergeCell ref="F72:G72"/>
    <mergeCell ref="B70:B73"/>
    <mergeCell ref="D70:D73"/>
    <mergeCell ref="E70:M70"/>
    <mergeCell ref="L72:L73"/>
    <mergeCell ref="M226:M228"/>
    <mergeCell ref="J227:J228"/>
    <mergeCell ref="C70:C73"/>
    <mergeCell ref="M71:M73"/>
    <mergeCell ref="L227:L228"/>
    <mergeCell ref="H268:H269"/>
    <mergeCell ref="J268:J269"/>
    <mergeCell ref="E266:M266"/>
    <mergeCell ref="E267:E269"/>
    <mergeCell ref="M267:M269"/>
    <mergeCell ref="K268:K269"/>
    <mergeCell ref="A221:M221"/>
    <mergeCell ref="A266:A269"/>
    <mergeCell ref="B225:B228"/>
    <mergeCell ref="D225:D228"/>
    <mergeCell ref="E226:E228"/>
    <mergeCell ref="K227:K228"/>
    <mergeCell ref="H227:H228"/>
    <mergeCell ref="C225:C228"/>
    <mergeCell ref="E225:M225"/>
    <mergeCell ref="F226:L226"/>
    <mergeCell ref="A306:A309"/>
    <mergeCell ref="M290:M292"/>
    <mergeCell ref="D266:D269"/>
    <mergeCell ref="F268:G268"/>
    <mergeCell ref="A262:M262"/>
    <mergeCell ref="A263:M263"/>
    <mergeCell ref="C266:C269"/>
    <mergeCell ref="F267:L267"/>
    <mergeCell ref="B266:B269"/>
    <mergeCell ref="L268:L269"/>
    <mergeCell ref="K291:K292"/>
    <mergeCell ref="L308:L309"/>
    <mergeCell ref="A302:M302"/>
    <mergeCell ref="E307:E309"/>
    <mergeCell ref="M307:M309"/>
    <mergeCell ref="C289:C292"/>
    <mergeCell ref="A289:A292"/>
    <mergeCell ref="B289:B292"/>
    <mergeCell ref="L291:L292"/>
    <mergeCell ref="E289:M289"/>
    <mergeCell ref="J308:J309"/>
    <mergeCell ref="F307:L307"/>
    <mergeCell ref="H7:H8"/>
    <mergeCell ref="J7:J8"/>
    <mergeCell ref="D306:D309"/>
    <mergeCell ref="E306:M306"/>
    <mergeCell ref="F290:L290"/>
    <mergeCell ref="F291:G291"/>
    <mergeCell ref="A285:M285"/>
    <mergeCell ref="A286:M286"/>
    <mergeCell ref="A303:M303"/>
    <mergeCell ref="K308:K309"/>
    <mergeCell ref="D289:D292"/>
    <mergeCell ref="E290:E292"/>
    <mergeCell ref="B306:B309"/>
    <mergeCell ref="C306:C309"/>
    <mergeCell ref="H291:H292"/>
    <mergeCell ref="J291:J292"/>
    <mergeCell ref="F308:G308"/>
    <mergeCell ref="H308:H309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4" r:id="rId1"/>
  <rowBreaks count="8" manualBreakCount="8">
    <brk id="40" max="9" man="1"/>
    <brk id="64" max="9" man="1"/>
    <brk id="107" max="9" man="1"/>
    <brk id="161" max="12" man="1"/>
    <brk id="220" max="9" man="1"/>
    <brk id="260" max="9" man="1"/>
    <brk id="284" max="11" man="1"/>
    <brk id="30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4.75390625" style="10" customWidth="1"/>
    <col min="2" max="2" width="55.25390625" style="10" customWidth="1"/>
    <col min="3" max="4" width="21.00390625" style="10" customWidth="1"/>
    <col min="5" max="5" width="20.625" style="817" customWidth="1"/>
    <col min="6" max="6" width="21.00390625" style="10" customWidth="1"/>
    <col min="7" max="16384" width="9.125" style="10" customWidth="1"/>
  </cols>
  <sheetData>
    <row r="1" ht="47.25" customHeight="1">
      <c r="F1" s="122" t="s">
        <v>626</v>
      </c>
    </row>
    <row r="3" spans="1:6" ht="20.25" customHeight="1">
      <c r="A3" s="1379" t="s">
        <v>51</v>
      </c>
      <c r="B3" s="1379"/>
      <c r="C3" s="1379"/>
      <c r="D3" s="1379"/>
      <c r="E3" s="1379"/>
      <c r="F3" s="1379"/>
    </row>
    <row r="4" spans="1:6" s="29" customFormat="1" ht="12.75">
      <c r="A4" s="1387" t="s">
        <v>170</v>
      </c>
      <c r="B4" s="1387"/>
      <c r="C4" s="1387"/>
      <c r="D4" s="1387"/>
      <c r="E4" s="1387"/>
      <c r="F4" s="1387"/>
    </row>
    <row r="5" ht="12">
      <c r="F5" s="1388" t="s">
        <v>116</v>
      </c>
    </row>
    <row r="6" ht="12.75" thickBot="1">
      <c r="F6" s="1389"/>
    </row>
    <row r="7" spans="1:6" ht="12">
      <c r="A7" s="1384" t="s">
        <v>115</v>
      </c>
      <c r="B7" s="1354" t="s">
        <v>119</v>
      </c>
      <c r="C7" s="1358" t="s">
        <v>421</v>
      </c>
      <c r="D7" s="1390" t="s">
        <v>78</v>
      </c>
      <c r="E7" s="1390"/>
      <c r="F7" s="1391"/>
    </row>
    <row r="8" spans="1:6" ht="12">
      <c r="A8" s="1385"/>
      <c r="B8" s="1355"/>
      <c r="C8" s="1359"/>
      <c r="D8" s="1357" t="s">
        <v>338</v>
      </c>
      <c r="E8" s="1037" t="s">
        <v>79</v>
      </c>
      <c r="F8" s="1371" t="s">
        <v>337</v>
      </c>
    </row>
    <row r="9" spans="1:6" ht="24">
      <c r="A9" s="1386"/>
      <c r="B9" s="1356"/>
      <c r="C9" s="1360"/>
      <c r="D9" s="1356"/>
      <c r="E9" s="1037" t="s">
        <v>422</v>
      </c>
      <c r="F9" s="1373"/>
    </row>
    <row r="10" spans="1:6" ht="12.75" thickBot="1">
      <c r="A10" s="442">
        <v>1</v>
      </c>
      <c r="B10" s="756">
        <v>2</v>
      </c>
      <c r="C10" s="443">
        <v>3</v>
      </c>
      <c r="D10" s="465">
        <v>4</v>
      </c>
      <c r="E10" s="465">
        <v>5</v>
      </c>
      <c r="F10" s="466">
        <v>6</v>
      </c>
    </row>
    <row r="11" spans="1:6" ht="12">
      <c r="A11" s="17"/>
      <c r="B11" s="20"/>
      <c r="C11" s="20" t="s">
        <v>419</v>
      </c>
      <c r="D11" s="472"/>
      <c r="E11" s="1039"/>
      <c r="F11" s="471" t="s">
        <v>419</v>
      </c>
    </row>
    <row r="12" spans="1:7" ht="12">
      <c r="A12" s="17">
        <v>1</v>
      </c>
      <c r="B12" s="93" t="s">
        <v>120</v>
      </c>
      <c r="C12" s="467">
        <f>SUM(C14+C24)</f>
        <v>676570</v>
      </c>
      <c r="D12" s="467">
        <f>SUM(D14+D24)</f>
        <v>676570</v>
      </c>
      <c r="E12" s="1040">
        <f>SUM(E14+E24)</f>
        <v>73570</v>
      </c>
      <c r="F12" s="468">
        <f>SUM(F14+F24)</f>
        <v>0</v>
      </c>
      <c r="G12" s="57"/>
    </row>
    <row r="13" spans="1:6" ht="12">
      <c r="A13" s="17"/>
      <c r="B13" s="16"/>
      <c r="C13" s="124" t="s">
        <v>419</v>
      </c>
      <c r="D13" s="124" t="s">
        <v>419</v>
      </c>
      <c r="E13" s="1032" t="s">
        <v>419</v>
      </c>
      <c r="F13" s="294" t="s">
        <v>419</v>
      </c>
    </row>
    <row r="14" spans="1:6" ht="12">
      <c r="A14" s="17">
        <v>2</v>
      </c>
      <c r="B14" s="93" t="s">
        <v>121</v>
      </c>
      <c r="C14" s="467">
        <f>SUM(C15:C22)</f>
        <v>389880</v>
      </c>
      <c r="D14" s="467">
        <f>SUM(D15:D22)</f>
        <v>389880</v>
      </c>
      <c r="E14" s="1040">
        <f>SUM(E15:E22)</f>
        <v>43550</v>
      </c>
      <c r="F14" s="468">
        <f>SUM(F15:F22)</f>
        <v>0</v>
      </c>
    </row>
    <row r="15" spans="1:6" ht="12">
      <c r="A15" s="17"/>
      <c r="B15" s="16"/>
      <c r="C15" s="124"/>
      <c r="D15" s="48"/>
      <c r="E15" s="1032"/>
      <c r="F15" s="294"/>
    </row>
    <row r="16" spans="1:6" ht="12">
      <c r="A16" s="17">
        <v>3</v>
      </c>
      <c r="B16" s="21" t="s">
        <v>122</v>
      </c>
      <c r="C16" s="125">
        <f>SUM(D16+F16)</f>
        <v>26500</v>
      </c>
      <c r="D16" s="986">
        <v>26500</v>
      </c>
      <c r="E16" s="1000"/>
      <c r="F16" s="469"/>
    </row>
    <row r="17" spans="1:6" ht="12">
      <c r="A17" s="17">
        <v>4</v>
      </c>
      <c r="B17" s="21" t="s">
        <v>123</v>
      </c>
      <c r="C17" s="125">
        <f aca="true" t="shared" si="0" ref="C17:C22">SUM(D17+F17)</f>
        <v>49600</v>
      </c>
      <c r="D17" s="984">
        <v>49600</v>
      </c>
      <c r="E17" s="1000">
        <v>11000</v>
      </c>
      <c r="F17" s="469"/>
    </row>
    <row r="18" spans="1:6" ht="12">
      <c r="A18" s="17">
        <v>5</v>
      </c>
      <c r="B18" s="21" t="s">
        <v>140</v>
      </c>
      <c r="C18" s="125">
        <f t="shared" si="0"/>
        <v>86730</v>
      </c>
      <c r="D18" s="984">
        <v>86730</v>
      </c>
      <c r="E18" s="1000">
        <v>28050</v>
      </c>
      <c r="F18" s="469"/>
    </row>
    <row r="19" spans="1:6" ht="12">
      <c r="A19" s="17">
        <v>6</v>
      </c>
      <c r="B19" s="21" t="s">
        <v>141</v>
      </c>
      <c r="C19" s="125">
        <f t="shared" si="0"/>
        <v>73600</v>
      </c>
      <c r="D19" s="984">
        <v>73600</v>
      </c>
      <c r="E19" s="1000"/>
      <c r="F19" s="469"/>
    </row>
    <row r="20" spans="1:6" ht="12">
      <c r="A20" s="17">
        <v>7</v>
      </c>
      <c r="B20" s="21" t="s">
        <v>431</v>
      </c>
      <c r="C20" s="125">
        <f t="shared" si="0"/>
        <v>40650</v>
      </c>
      <c r="D20" s="984">
        <v>40650</v>
      </c>
      <c r="E20" s="1000"/>
      <c r="F20" s="469"/>
    </row>
    <row r="21" spans="1:6" ht="12">
      <c r="A21" s="17">
        <v>8</v>
      </c>
      <c r="B21" s="21" t="s">
        <v>432</v>
      </c>
      <c r="C21" s="125">
        <f t="shared" si="0"/>
        <v>45300</v>
      </c>
      <c r="D21" s="984">
        <v>45300</v>
      </c>
      <c r="E21" s="1000"/>
      <c r="F21" s="469"/>
    </row>
    <row r="22" spans="1:6" ht="12">
      <c r="A22" s="17">
        <v>9</v>
      </c>
      <c r="B22" s="21" t="s">
        <v>433</v>
      </c>
      <c r="C22" s="125">
        <f t="shared" si="0"/>
        <v>67500</v>
      </c>
      <c r="D22" s="984">
        <v>67500</v>
      </c>
      <c r="E22" s="1000">
        <v>4500</v>
      </c>
      <c r="F22" s="469"/>
    </row>
    <row r="23" spans="1:6" ht="12">
      <c r="A23" s="17"/>
      <c r="B23" s="16"/>
      <c r="C23" s="124"/>
      <c r="D23" s="48"/>
      <c r="E23" s="1032"/>
      <c r="F23" s="294"/>
    </row>
    <row r="24" spans="1:6" ht="12">
      <c r="A24" s="17">
        <v>10</v>
      </c>
      <c r="B24" s="93" t="s">
        <v>142</v>
      </c>
      <c r="C24" s="467">
        <f>SUM(C26:C37)</f>
        <v>286690</v>
      </c>
      <c r="D24" s="467">
        <f>SUM(D26:D37)</f>
        <v>286690</v>
      </c>
      <c r="E24" s="1040">
        <f>SUM(E26:E37)</f>
        <v>30020</v>
      </c>
      <c r="F24" s="468">
        <f>SUM(F26:F37)</f>
        <v>0</v>
      </c>
    </row>
    <row r="25" spans="1:6" ht="12">
      <c r="A25" s="17"/>
      <c r="B25" s="16"/>
      <c r="C25" s="124"/>
      <c r="D25" s="48"/>
      <c r="E25" s="1032"/>
      <c r="F25" s="294"/>
    </row>
    <row r="26" spans="1:6" ht="12">
      <c r="A26" s="17">
        <v>11</v>
      </c>
      <c r="B26" s="21" t="s">
        <v>143</v>
      </c>
      <c r="C26" s="125">
        <f>SUM(D26+F26)</f>
        <v>19950</v>
      </c>
      <c r="D26" s="986">
        <v>19950</v>
      </c>
      <c r="E26" s="1000"/>
      <c r="F26" s="469"/>
    </row>
    <row r="27" spans="1:6" ht="12">
      <c r="A27" s="17">
        <v>12</v>
      </c>
      <c r="B27" s="21" t="s">
        <v>144</v>
      </c>
      <c r="C27" s="125">
        <f aca="true" t="shared" si="1" ref="C27:C36">SUM(D27+F27)</f>
        <v>21050</v>
      </c>
      <c r="D27" s="984">
        <v>21050</v>
      </c>
      <c r="E27" s="1000"/>
      <c r="F27" s="469"/>
    </row>
    <row r="28" spans="1:6" ht="12">
      <c r="A28" s="17">
        <v>13</v>
      </c>
      <c r="B28" s="21" t="s">
        <v>145</v>
      </c>
      <c r="C28" s="125">
        <f t="shared" si="1"/>
        <v>9500</v>
      </c>
      <c r="D28" s="984">
        <v>9500</v>
      </c>
      <c r="E28" s="1000"/>
      <c r="F28" s="469"/>
    </row>
    <row r="29" spans="1:6" ht="12">
      <c r="A29" s="17">
        <v>14</v>
      </c>
      <c r="B29" s="21" t="s">
        <v>146</v>
      </c>
      <c r="C29" s="125">
        <f t="shared" si="1"/>
        <v>49820</v>
      </c>
      <c r="D29" s="984">
        <v>49820</v>
      </c>
      <c r="E29" s="1000">
        <v>18520</v>
      </c>
      <c r="F29" s="469"/>
    </row>
    <row r="30" spans="1:6" ht="12">
      <c r="A30" s="17">
        <v>15</v>
      </c>
      <c r="B30" s="21" t="s">
        <v>147</v>
      </c>
      <c r="C30" s="125">
        <f t="shared" si="1"/>
        <v>12610</v>
      </c>
      <c r="D30" s="984">
        <v>12610</v>
      </c>
      <c r="E30" s="1000"/>
      <c r="F30" s="469"/>
    </row>
    <row r="31" spans="1:6" ht="12">
      <c r="A31" s="17">
        <v>16</v>
      </c>
      <c r="B31" s="21" t="s">
        <v>148</v>
      </c>
      <c r="C31" s="125">
        <f t="shared" si="1"/>
        <v>4850</v>
      </c>
      <c r="D31" s="984">
        <v>4850</v>
      </c>
      <c r="E31" s="1000"/>
      <c r="F31" s="469"/>
    </row>
    <row r="32" spans="1:6" ht="12">
      <c r="A32" s="17">
        <v>17</v>
      </c>
      <c r="B32" s="21" t="s">
        <v>149</v>
      </c>
      <c r="C32" s="125">
        <f t="shared" si="1"/>
        <v>45150</v>
      </c>
      <c r="D32" s="984">
        <v>45150</v>
      </c>
      <c r="E32" s="1000">
        <v>6000</v>
      </c>
      <c r="F32" s="469"/>
    </row>
    <row r="33" spans="1:6" ht="12">
      <c r="A33" s="17">
        <v>18</v>
      </c>
      <c r="B33" s="21" t="s">
        <v>150</v>
      </c>
      <c r="C33" s="125">
        <f t="shared" si="1"/>
        <v>27300</v>
      </c>
      <c r="D33" s="984">
        <v>27300</v>
      </c>
      <c r="E33" s="1000">
        <v>5500</v>
      </c>
      <c r="F33" s="469"/>
    </row>
    <row r="34" spans="1:6" ht="12">
      <c r="A34" s="17">
        <v>19</v>
      </c>
      <c r="B34" s="21" t="s">
        <v>151</v>
      </c>
      <c r="C34" s="125">
        <f t="shared" si="1"/>
        <v>52500</v>
      </c>
      <c r="D34" s="984">
        <v>52500</v>
      </c>
      <c r="E34" s="1000"/>
      <c r="F34" s="469"/>
    </row>
    <row r="35" spans="1:6" ht="12">
      <c r="A35" s="17">
        <v>20</v>
      </c>
      <c r="B35" s="21" t="s">
        <v>152</v>
      </c>
      <c r="C35" s="125">
        <f t="shared" si="1"/>
        <v>9460</v>
      </c>
      <c r="D35" s="984">
        <v>9460</v>
      </c>
      <c r="E35" s="1000"/>
      <c r="F35" s="469"/>
    </row>
    <row r="36" spans="1:6" ht="12">
      <c r="A36" s="17">
        <v>21</v>
      </c>
      <c r="B36" s="21" t="s">
        <v>153</v>
      </c>
      <c r="C36" s="125">
        <f t="shared" si="1"/>
        <v>24000</v>
      </c>
      <c r="D36" s="984">
        <v>24000</v>
      </c>
      <c r="E36" s="1000"/>
      <c r="F36" s="469"/>
    </row>
    <row r="37" spans="1:6" ht="12.75" thickBot="1">
      <c r="A37" s="18">
        <v>22</v>
      </c>
      <c r="B37" s="22" t="s">
        <v>154</v>
      </c>
      <c r="C37" s="135">
        <f>SUM(D37+F37)</f>
        <v>10500</v>
      </c>
      <c r="D37" s="985">
        <v>10500</v>
      </c>
      <c r="E37" s="1041"/>
      <c r="F37" s="470"/>
    </row>
    <row r="38" spans="1:6" ht="12">
      <c r="A38" s="12"/>
      <c r="B38" s="12"/>
      <c r="C38" s="12"/>
      <c r="D38" s="12"/>
      <c r="E38" s="1014"/>
      <c r="F38" s="12"/>
    </row>
    <row r="39" ht="20.25">
      <c r="C39" s="532"/>
    </row>
  </sheetData>
  <sheetProtection/>
  <mergeCells count="9">
    <mergeCell ref="B7:B9"/>
    <mergeCell ref="A7:A9"/>
    <mergeCell ref="A3:F3"/>
    <mergeCell ref="A4:F4"/>
    <mergeCell ref="F5:F6"/>
    <mergeCell ref="C7:C9"/>
    <mergeCell ref="D7:F7"/>
    <mergeCell ref="D8:D9"/>
    <mergeCell ref="F8:F9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J20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3.375" style="10" bestFit="1" customWidth="1"/>
    <col min="2" max="2" width="25.875" style="10" customWidth="1"/>
    <col min="3" max="4" width="9.375" style="10" bestFit="1" customWidth="1"/>
    <col min="5" max="5" width="27.125" style="62" customWidth="1"/>
    <col min="6" max="6" width="15.75390625" style="1042" customWidth="1"/>
    <col min="7" max="8" width="15.75390625" style="817" customWidth="1"/>
    <col min="9" max="9" width="15.875" style="817" bestFit="1" customWidth="1"/>
    <col min="10" max="10" width="20.25390625" style="817" customWidth="1"/>
    <col min="11" max="11" width="9.125" style="10" customWidth="1"/>
    <col min="12" max="12" width="10.125" style="10" bestFit="1" customWidth="1"/>
    <col min="13" max="16384" width="9.125" style="10" customWidth="1"/>
  </cols>
  <sheetData>
    <row r="1" spans="9:10" ht="47.25" customHeight="1">
      <c r="I1" s="1377" t="s">
        <v>628</v>
      </c>
      <c r="J1" s="1401"/>
    </row>
    <row r="3" spans="1:10" ht="15.75" customHeight="1">
      <c r="A3" s="1393" t="s">
        <v>52</v>
      </c>
      <c r="B3" s="1393"/>
      <c r="C3" s="1393"/>
      <c r="D3" s="1393"/>
      <c r="E3" s="1393"/>
      <c r="F3" s="1393"/>
      <c r="G3" s="1393"/>
      <c r="H3" s="1393"/>
      <c r="I3" s="1393"/>
      <c r="J3" s="1393"/>
    </row>
    <row r="5" spans="3:10" ht="18" customHeight="1" thickBot="1">
      <c r="C5" s="210"/>
      <c r="J5" s="1038" t="s">
        <v>116</v>
      </c>
    </row>
    <row r="6" spans="1:10" ht="15" customHeight="1">
      <c r="A6" s="1394" t="s">
        <v>118</v>
      </c>
      <c r="B6" s="1396" t="s">
        <v>349</v>
      </c>
      <c r="C6" s="1396" t="s">
        <v>440</v>
      </c>
      <c r="D6" s="1390" t="s">
        <v>458</v>
      </c>
      <c r="E6" s="1390" t="s">
        <v>362</v>
      </c>
      <c r="F6" s="1390" t="s">
        <v>322</v>
      </c>
      <c r="G6" s="1390" t="s">
        <v>321</v>
      </c>
      <c r="H6" s="1354" t="s">
        <v>489</v>
      </c>
      <c r="I6" s="381" t="s">
        <v>79</v>
      </c>
      <c r="J6" s="1391" t="s">
        <v>323</v>
      </c>
    </row>
    <row r="7" spans="1:10" ht="24" customHeight="1">
      <c r="A7" s="1395"/>
      <c r="B7" s="1397"/>
      <c r="C7" s="1397"/>
      <c r="D7" s="1392"/>
      <c r="E7" s="1392"/>
      <c r="F7" s="1392"/>
      <c r="G7" s="1392"/>
      <c r="H7" s="1356"/>
      <c r="I7" s="408" t="s">
        <v>445</v>
      </c>
      <c r="J7" s="1402"/>
    </row>
    <row r="8" spans="1:10" s="311" customFormat="1" ht="12.75" thickBot="1">
      <c r="A8" s="762">
        <v>1</v>
      </c>
      <c r="B8" s="448">
        <v>2</v>
      </c>
      <c r="C8" s="448">
        <v>3</v>
      </c>
      <c r="D8" s="449">
        <v>4</v>
      </c>
      <c r="E8" s="449">
        <v>5</v>
      </c>
      <c r="F8" s="1043">
        <v>6</v>
      </c>
      <c r="G8" s="1043">
        <v>7</v>
      </c>
      <c r="H8" s="1043">
        <v>8</v>
      </c>
      <c r="I8" s="1043">
        <v>9</v>
      </c>
      <c r="J8" s="1044">
        <v>10</v>
      </c>
    </row>
    <row r="9" spans="1:10" s="12" customFormat="1" ht="24">
      <c r="A9" s="763">
        <v>1</v>
      </c>
      <c r="B9" s="487" t="s">
        <v>350</v>
      </c>
      <c r="C9" s="488">
        <v>852</v>
      </c>
      <c r="D9" s="312"/>
      <c r="E9" s="313" t="s">
        <v>297</v>
      </c>
      <c r="F9" s="485">
        <f>SUM(F10)</f>
        <v>0</v>
      </c>
      <c r="G9" s="485">
        <f>SUM(G10)</f>
        <v>3000</v>
      </c>
      <c r="H9" s="485">
        <f>SUM(H10)</f>
        <v>3000</v>
      </c>
      <c r="I9" s="485">
        <f>SUM(I10)</f>
        <v>0</v>
      </c>
      <c r="J9" s="1045">
        <f>SUM(J10)</f>
        <v>0</v>
      </c>
    </row>
    <row r="10" spans="1:10" s="12" customFormat="1" ht="36.75" customHeight="1">
      <c r="A10" s="764"/>
      <c r="B10" s="486"/>
      <c r="C10" s="489"/>
      <c r="D10" s="483">
        <v>85295</v>
      </c>
      <c r="E10" s="484" t="s">
        <v>467</v>
      </c>
      <c r="F10" s="1046">
        <v>0</v>
      </c>
      <c r="G10" s="1047">
        <v>3000</v>
      </c>
      <c r="H10" s="1048">
        <v>3000</v>
      </c>
      <c r="I10" s="1048">
        <v>0</v>
      </c>
      <c r="J10" s="1049">
        <v>0</v>
      </c>
    </row>
    <row r="11" spans="1:10" s="12" customFormat="1" ht="24">
      <c r="A11" s="765">
        <v>2</v>
      </c>
      <c r="B11" s="533" t="s">
        <v>351</v>
      </c>
      <c r="C11" s="488">
        <v>926</v>
      </c>
      <c r="D11" s="312"/>
      <c r="E11" s="313" t="s">
        <v>88</v>
      </c>
      <c r="F11" s="485">
        <f>SUM(F12)</f>
        <v>0</v>
      </c>
      <c r="G11" s="485">
        <f>SUM(G12)</f>
        <v>402000</v>
      </c>
      <c r="H11" s="485">
        <f>SUM(H12)</f>
        <v>402000</v>
      </c>
      <c r="I11" s="485">
        <f>SUM(I12)</f>
        <v>0</v>
      </c>
      <c r="J11" s="1045">
        <f>SUM(J12)</f>
        <v>0</v>
      </c>
    </row>
    <row r="12" spans="1:10" s="12" customFormat="1" ht="36.75" customHeight="1" thickBot="1">
      <c r="A12" s="766"/>
      <c r="B12" s="534"/>
      <c r="C12" s="535"/>
      <c r="D12" s="536">
        <v>92604</v>
      </c>
      <c r="E12" s="537" t="s">
        <v>180</v>
      </c>
      <c r="F12" s="1050">
        <v>0</v>
      </c>
      <c r="G12" s="1051">
        <v>402000</v>
      </c>
      <c r="H12" s="1051">
        <v>402000</v>
      </c>
      <c r="I12" s="1052">
        <v>0</v>
      </c>
      <c r="J12" s="1053">
        <v>0</v>
      </c>
    </row>
    <row r="13" spans="1:10" s="370" customFormat="1" ht="27" customHeight="1" thickBot="1">
      <c r="A13" s="1398" t="s">
        <v>89</v>
      </c>
      <c r="B13" s="1399"/>
      <c r="C13" s="1399"/>
      <c r="D13" s="1399"/>
      <c r="E13" s="1400"/>
      <c r="F13" s="1054">
        <f>SUM(F9+F11)</f>
        <v>0</v>
      </c>
      <c r="G13" s="1054">
        <f>SUM(G9+G11)</f>
        <v>405000</v>
      </c>
      <c r="H13" s="1054">
        <f>SUM(H9+H11)</f>
        <v>405000</v>
      </c>
      <c r="I13" s="1054">
        <f>SUM(I9+I11)</f>
        <v>0</v>
      </c>
      <c r="J13" s="1055">
        <f>SUM(J9+J11)</f>
        <v>0</v>
      </c>
    </row>
    <row r="14" ht="12">
      <c r="G14" s="1056"/>
    </row>
    <row r="15" ht="12">
      <c r="G15" s="1056"/>
    </row>
    <row r="16" ht="12">
      <c r="G16" s="1056"/>
    </row>
    <row r="17" spans="3:10" ht="15.75">
      <c r="C17" s="1393"/>
      <c r="D17" s="1393"/>
      <c r="E17" s="1393"/>
      <c r="F17" s="1393"/>
      <c r="G17" s="1393"/>
      <c r="H17" s="1393"/>
      <c r="I17" s="1393"/>
      <c r="J17" s="1393"/>
    </row>
    <row r="18" ht="12">
      <c r="G18" s="1056"/>
    </row>
    <row r="19" ht="12">
      <c r="G19" s="1056"/>
    </row>
    <row r="20" ht="12">
      <c r="G20" s="1056"/>
    </row>
  </sheetData>
  <sheetProtection/>
  <mergeCells count="13">
    <mergeCell ref="I1:J1"/>
    <mergeCell ref="C6:C7"/>
    <mergeCell ref="D6:D7"/>
    <mergeCell ref="J6:J7"/>
    <mergeCell ref="E6:E7"/>
    <mergeCell ref="F6:F7"/>
    <mergeCell ref="G6:G7"/>
    <mergeCell ref="A3:J3"/>
    <mergeCell ref="C17:J17"/>
    <mergeCell ref="H6:H7"/>
    <mergeCell ref="A6:A7"/>
    <mergeCell ref="B6:B7"/>
    <mergeCell ref="A13:E1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191"/>
  <sheetViews>
    <sheetView showGridLines="0" view="pageBreakPreview" zoomScaleSheetLayoutView="100" zoomScalePageLayoutView="0" workbookViewId="0" topLeftCell="D1">
      <selection activeCell="N5" sqref="N5"/>
    </sheetView>
  </sheetViews>
  <sheetFormatPr defaultColWidth="9.00390625" defaultRowHeight="12"/>
  <cols>
    <col min="1" max="1" width="7.75390625" style="95" bestFit="1" customWidth="1"/>
    <col min="2" max="2" width="34.375" style="95" customWidth="1"/>
    <col min="3" max="4" width="9.375" style="95" bestFit="1" customWidth="1"/>
    <col min="5" max="5" width="15.125" style="95" bestFit="1" customWidth="1"/>
    <col min="6" max="6" width="13.625" style="95" customWidth="1"/>
    <col min="7" max="7" width="13.375" style="95" customWidth="1"/>
    <col min="8" max="8" width="15.25390625" style="95" customWidth="1"/>
    <col min="9" max="9" width="15.00390625" style="95" customWidth="1"/>
    <col min="10" max="10" width="14.00390625" style="95" customWidth="1"/>
    <col min="11" max="11" width="12.375" style="95" bestFit="1" customWidth="1"/>
    <col min="12" max="12" width="14.125" style="95" bestFit="1" customWidth="1"/>
    <col min="13" max="13" width="14.375" style="95" customWidth="1"/>
    <col min="14" max="14" width="14.125" style="95" customWidth="1"/>
    <col min="15" max="15" width="12.625" style="95" bestFit="1" customWidth="1"/>
    <col min="16" max="16" width="11.625" style="95" customWidth="1"/>
    <col min="17" max="16384" width="9.00390625" style="95" customWidth="1"/>
  </cols>
  <sheetData>
    <row r="1" spans="8:15" ht="12">
      <c r="H1" s="95" t="s">
        <v>185</v>
      </c>
      <c r="L1" s="64"/>
      <c r="O1" s="65" t="s">
        <v>343</v>
      </c>
    </row>
    <row r="2" spans="1:16" ht="35.25" customHeight="1">
      <c r="A2" s="1293"/>
      <c r="L2" s="64"/>
      <c r="O2" s="1433" t="s">
        <v>627</v>
      </c>
      <c r="P2" s="1433"/>
    </row>
    <row r="4" spans="1:16" ht="15.75">
      <c r="A4" s="1413" t="s">
        <v>53</v>
      </c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</row>
    <row r="5" spans="1:16" ht="14.25" customHeight="1" thickBot="1">
      <c r="A5" s="96"/>
      <c r="E5" s="1107"/>
      <c r="L5" s="1108"/>
      <c r="M5" s="97"/>
      <c r="N5" s="342"/>
      <c r="O5" s="342"/>
      <c r="P5" s="342" t="s">
        <v>116</v>
      </c>
    </row>
    <row r="6" spans="1:16" ht="14.25" customHeight="1">
      <c r="A6" s="1414" t="s">
        <v>118</v>
      </c>
      <c r="B6" s="1416" t="s">
        <v>181</v>
      </c>
      <c r="C6" s="1418" t="s">
        <v>440</v>
      </c>
      <c r="D6" s="1420" t="s">
        <v>458</v>
      </c>
      <c r="E6" s="1436" t="s">
        <v>405</v>
      </c>
      <c r="F6" s="1438" t="s">
        <v>310</v>
      </c>
      <c r="G6" s="1434" t="s">
        <v>78</v>
      </c>
      <c r="H6" s="1434"/>
      <c r="I6" s="1434"/>
      <c r="J6" s="1434"/>
      <c r="K6" s="1435"/>
      <c r="L6" s="1436" t="s">
        <v>489</v>
      </c>
      <c r="M6" s="1420" t="s">
        <v>78</v>
      </c>
      <c r="N6" s="1441"/>
      <c r="O6" s="1442"/>
      <c r="P6" s="1424" t="s">
        <v>406</v>
      </c>
    </row>
    <row r="7" spans="1:16" ht="14.25" customHeight="1">
      <c r="A7" s="1415"/>
      <c r="B7" s="1417"/>
      <c r="C7" s="1419"/>
      <c r="D7" s="1421"/>
      <c r="E7" s="1437"/>
      <c r="F7" s="1439"/>
      <c r="G7" s="1445" t="s">
        <v>215</v>
      </c>
      <c r="H7" s="1445" t="s">
        <v>80</v>
      </c>
      <c r="I7" s="1443" t="s">
        <v>78</v>
      </c>
      <c r="J7" s="1443"/>
      <c r="K7" s="1444"/>
      <c r="L7" s="1437"/>
      <c r="M7" s="1440" t="s">
        <v>435</v>
      </c>
      <c r="N7" s="707"/>
      <c r="O7" s="707"/>
      <c r="P7" s="1425"/>
    </row>
    <row r="8" spans="1:16" ht="54.75" customHeight="1">
      <c r="A8" s="1415"/>
      <c r="B8" s="1417"/>
      <c r="C8" s="1419"/>
      <c r="D8" s="1421"/>
      <c r="E8" s="1437"/>
      <c r="F8" s="1439"/>
      <c r="G8" s="1445"/>
      <c r="H8" s="1445"/>
      <c r="I8" s="688" t="s">
        <v>237</v>
      </c>
      <c r="J8" s="688" t="s">
        <v>616</v>
      </c>
      <c r="K8" s="689" t="s">
        <v>17</v>
      </c>
      <c r="L8" s="1437"/>
      <c r="M8" s="1421"/>
      <c r="N8" s="708" t="s">
        <v>436</v>
      </c>
      <c r="O8" s="708" t="s">
        <v>445</v>
      </c>
      <c r="P8" s="1425"/>
    </row>
    <row r="9" spans="1:16" ht="12.75" thickBot="1">
      <c r="A9" s="681">
        <v>1</v>
      </c>
      <c r="B9" s="687">
        <v>2</v>
      </c>
      <c r="C9" s="686">
        <v>3</v>
      </c>
      <c r="D9" s="685">
        <v>4</v>
      </c>
      <c r="E9" s="681">
        <v>5</v>
      </c>
      <c r="F9" s="682">
        <v>6</v>
      </c>
      <c r="G9" s="683">
        <v>7</v>
      </c>
      <c r="H9" s="682">
        <v>8</v>
      </c>
      <c r="I9" s="450">
        <v>9</v>
      </c>
      <c r="J9" s="450">
        <v>10</v>
      </c>
      <c r="K9" s="684">
        <v>11</v>
      </c>
      <c r="L9" s="681">
        <v>12</v>
      </c>
      <c r="M9" s="978">
        <v>13</v>
      </c>
      <c r="N9" s="450">
        <v>14</v>
      </c>
      <c r="O9" s="450">
        <v>15</v>
      </c>
      <c r="P9" s="451">
        <v>16</v>
      </c>
    </row>
    <row r="10" spans="1:16" ht="12" customHeight="1">
      <c r="A10" s="1426" t="s">
        <v>155</v>
      </c>
      <c r="B10" s="1428" t="s">
        <v>99</v>
      </c>
      <c r="C10" s="1431" t="s">
        <v>457</v>
      </c>
      <c r="D10" s="1432"/>
      <c r="E10" s="166">
        <f>SUM(E11:E15)</f>
        <v>707210</v>
      </c>
      <c r="F10" s="98">
        <f aca="true" t="shared" si="0" ref="F10:N10">SUM(F11:F15)</f>
        <v>17737381</v>
      </c>
      <c r="G10" s="99">
        <f t="shared" si="0"/>
        <v>17737381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167">
        <f t="shared" si="0"/>
        <v>0</v>
      </c>
      <c r="L10" s="164">
        <f t="shared" si="0"/>
        <v>17737381</v>
      </c>
      <c r="M10" s="712">
        <f t="shared" si="0"/>
        <v>17504381</v>
      </c>
      <c r="N10" s="164">
        <f t="shared" si="0"/>
        <v>233000</v>
      </c>
      <c r="O10" s="271"/>
      <c r="P10" s="272">
        <f>SUM(P11:P15)</f>
        <v>707210</v>
      </c>
    </row>
    <row r="11" spans="1:16" ht="12">
      <c r="A11" s="1423"/>
      <c r="B11" s="1429"/>
      <c r="C11" s="101">
        <v>400</v>
      </c>
      <c r="D11" s="102">
        <v>40002</v>
      </c>
      <c r="E11" s="168">
        <v>465118</v>
      </c>
      <c r="F11" s="104">
        <f>SUM(G11:H11)</f>
        <v>7668278</v>
      </c>
      <c r="G11" s="160">
        <v>7668278</v>
      </c>
      <c r="H11" s="24">
        <f>SUM(I11:K11)</f>
        <v>0</v>
      </c>
      <c r="I11" s="24">
        <v>0</v>
      </c>
      <c r="J11" s="24">
        <v>0</v>
      </c>
      <c r="K11" s="152">
        <v>0</v>
      </c>
      <c r="L11" s="157">
        <f>SUM(E11+F11-P11)</f>
        <v>7668278</v>
      </c>
      <c r="M11" s="709">
        <f>L11-N11</f>
        <v>7533278</v>
      </c>
      <c r="N11" s="105">
        <v>135000</v>
      </c>
      <c r="O11" s="105"/>
      <c r="P11" s="106">
        <v>465118</v>
      </c>
    </row>
    <row r="12" spans="1:16" ht="12">
      <c r="A12" s="1423"/>
      <c r="B12" s="1429"/>
      <c r="C12" s="101">
        <v>600</v>
      </c>
      <c r="D12" s="107">
        <v>60014</v>
      </c>
      <c r="E12" s="168">
        <v>16382</v>
      </c>
      <c r="F12" s="104">
        <f>SUM(G12:H12)</f>
        <v>163080</v>
      </c>
      <c r="G12" s="160">
        <v>163080</v>
      </c>
      <c r="H12" s="24">
        <f>SUM(I12:K12)</f>
        <v>0</v>
      </c>
      <c r="I12" s="24">
        <v>0</v>
      </c>
      <c r="J12" s="24">
        <v>0</v>
      </c>
      <c r="K12" s="152">
        <v>0</v>
      </c>
      <c r="L12" s="157">
        <f>SUM(E12+F12-P12)</f>
        <v>163080</v>
      </c>
      <c r="M12" s="709">
        <v>163080</v>
      </c>
      <c r="N12" s="105"/>
      <c r="O12" s="105"/>
      <c r="P12" s="106">
        <v>16382</v>
      </c>
    </row>
    <row r="13" spans="1:16" ht="12">
      <c r="A13" s="1423"/>
      <c r="B13" s="1429"/>
      <c r="C13" s="101">
        <v>600</v>
      </c>
      <c r="D13" s="107">
        <v>60016</v>
      </c>
      <c r="E13" s="168">
        <v>12322</v>
      </c>
      <c r="F13" s="104">
        <f>SUM(G13:H13)</f>
        <v>1251569</v>
      </c>
      <c r="G13" s="160">
        <v>1251569</v>
      </c>
      <c r="H13" s="24">
        <f>SUM(I13:K13)</f>
        <v>0</v>
      </c>
      <c r="I13" s="24">
        <v>0</v>
      </c>
      <c r="J13" s="24">
        <v>0</v>
      </c>
      <c r="K13" s="152">
        <v>0</v>
      </c>
      <c r="L13" s="157">
        <f>SUM(E13+F13-P13)</f>
        <v>1251569</v>
      </c>
      <c r="M13" s="709">
        <v>1251569</v>
      </c>
      <c r="N13" s="105"/>
      <c r="O13" s="105"/>
      <c r="P13" s="106">
        <v>12322</v>
      </c>
    </row>
    <row r="14" spans="1:16" ht="12">
      <c r="A14" s="1423"/>
      <c r="B14" s="1429"/>
      <c r="C14" s="101">
        <v>900</v>
      </c>
      <c r="D14" s="107">
        <v>90001</v>
      </c>
      <c r="E14" s="168">
        <v>204248</v>
      </c>
      <c r="F14" s="104">
        <f>SUM(G14:H14)</f>
        <v>8536642</v>
      </c>
      <c r="G14" s="160">
        <v>8536642</v>
      </c>
      <c r="H14" s="24">
        <f>SUM(I14:K14)</f>
        <v>0</v>
      </c>
      <c r="I14" s="24">
        <v>0</v>
      </c>
      <c r="J14" s="24">
        <v>0</v>
      </c>
      <c r="K14" s="152">
        <v>0</v>
      </c>
      <c r="L14" s="157">
        <f>SUM(E14+F14-P14)</f>
        <v>8536642</v>
      </c>
      <c r="M14" s="709">
        <f>L14-N14</f>
        <v>8438642</v>
      </c>
      <c r="N14" s="105">
        <v>98000</v>
      </c>
      <c r="O14" s="105"/>
      <c r="P14" s="106">
        <v>204248</v>
      </c>
    </row>
    <row r="15" spans="1:16" ht="12.75" thickBot="1">
      <c r="A15" s="1427"/>
      <c r="B15" s="1430"/>
      <c r="C15" s="108">
        <v>900</v>
      </c>
      <c r="D15" s="109">
        <v>90095</v>
      </c>
      <c r="E15" s="169">
        <v>9140</v>
      </c>
      <c r="F15" s="110">
        <f>SUM(G15:H15)</f>
        <v>117812</v>
      </c>
      <c r="G15" s="273">
        <v>117812</v>
      </c>
      <c r="H15" s="25">
        <f>SUM(I15:K15)</f>
        <v>0</v>
      </c>
      <c r="I15" s="25">
        <v>0</v>
      </c>
      <c r="J15" s="25">
        <v>0</v>
      </c>
      <c r="K15" s="153">
        <v>0</v>
      </c>
      <c r="L15" s="158">
        <f>SUM(E15+F15-P15)</f>
        <v>117812</v>
      </c>
      <c r="M15" s="710">
        <v>117812</v>
      </c>
      <c r="N15" s="197"/>
      <c r="O15" s="197"/>
      <c r="P15" s="111">
        <v>9140</v>
      </c>
    </row>
    <row r="16" spans="1:16" ht="12" customHeight="1">
      <c r="A16" s="1446" t="s">
        <v>156</v>
      </c>
      <c r="B16" s="1448" t="s">
        <v>100</v>
      </c>
      <c r="C16" s="1457" t="s">
        <v>457</v>
      </c>
      <c r="D16" s="1458"/>
      <c r="E16" s="711">
        <f aca="true" t="shared" si="1" ref="E16:O16">SUM(E17:E20)</f>
        <v>512477</v>
      </c>
      <c r="F16" s="712">
        <f t="shared" si="1"/>
        <v>22622332</v>
      </c>
      <c r="G16" s="713">
        <f t="shared" si="1"/>
        <v>16402332</v>
      </c>
      <c r="H16" s="712">
        <f t="shared" si="1"/>
        <v>6220000</v>
      </c>
      <c r="I16" s="712">
        <f t="shared" si="1"/>
        <v>0</v>
      </c>
      <c r="J16" s="712">
        <f t="shared" si="1"/>
        <v>2900000</v>
      </c>
      <c r="K16" s="544">
        <f t="shared" si="1"/>
        <v>3320000</v>
      </c>
      <c r="L16" s="164">
        <f t="shared" si="1"/>
        <v>22622332</v>
      </c>
      <c r="M16" s="714">
        <f t="shared" si="1"/>
        <v>19302332</v>
      </c>
      <c r="N16" s="98">
        <f t="shared" si="1"/>
        <v>3320000</v>
      </c>
      <c r="O16" s="712">
        <f t="shared" si="1"/>
        <v>0</v>
      </c>
      <c r="P16" s="715">
        <f>SUM(P17:P20)</f>
        <v>512477</v>
      </c>
    </row>
    <row r="17" spans="1:16" ht="12">
      <c r="A17" s="1447"/>
      <c r="B17" s="1449"/>
      <c r="C17" s="101">
        <v>700</v>
      </c>
      <c r="D17" s="102">
        <v>70001</v>
      </c>
      <c r="E17" s="168">
        <v>512477</v>
      </c>
      <c r="F17" s="104">
        <f>SUM(G17:H17)</f>
        <v>20018885</v>
      </c>
      <c r="G17" s="160">
        <v>13998885</v>
      </c>
      <c r="H17" s="24">
        <f>J17+K17</f>
        <v>6020000</v>
      </c>
      <c r="I17" s="24"/>
      <c r="J17" s="24">
        <v>2700000</v>
      </c>
      <c r="K17" s="219">
        <f>2820000+500000</f>
        <v>3320000</v>
      </c>
      <c r="L17" s="174">
        <f>SUM(E17+F17-P17)</f>
        <v>20018885</v>
      </c>
      <c r="M17" s="716">
        <f>L17-N17</f>
        <v>16698885</v>
      </c>
      <c r="N17" s="717">
        <v>3320000</v>
      </c>
      <c r="O17" s="105"/>
      <c r="P17" s="106">
        <v>512477</v>
      </c>
    </row>
    <row r="18" spans="1:16" ht="12">
      <c r="A18" s="1447"/>
      <c r="B18" s="1449"/>
      <c r="C18" s="101">
        <v>900</v>
      </c>
      <c r="D18" s="102">
        <v>90003</v>
      </c>
      <c r="E18" s="274">
        <v>0</v>
      </c>
      <c r="F18" s="104">
        <f>SUM(G18:H18)</f>
        <v>172836</v>
      </c>
      <c r="G18" s="160">
        <v>172836</v>
      </c>
      <c r="H18" s="24">
        <f>SUM(I18:K18)</f>
        <v>0</v>
      </c>
      <c r="I18" s="24"/>
      <c r="J18" s="24"/>
      <c r="K18" s="152"/>
      <c r="L18" s="157">
        <f>SUM(E18+F18-P18)</f>
        <v>172836</v>
      </c>
      <c r="M18" s="709">
        <v>172836</v>
      </c>
      <c r="N18" s="105"/>
      <c r="O18" s="105"/>
      <c r="P18" s="106">
        <v>0</v>
      </c>
    </row>
    <row r="19" spans="1:16" ht="12">
      <c r="A19" s="1447"/>
      <c r="B19" s="1449"/>
      <c r="C19" s="101">
        <v>900</v>
      </c>
      <c r="D19" s="102">
        <v>90015</v>
      </c>
      <c r="E19" s="274">
        <v>0</v>
      </c>
      <c r="F19" s="104">
        <f>SUM(G19:H19)</f>
        <v>1671911</v>
      </c>
      <c r="G19" s="160">
        <v>1671911</v>
      </c>
      <c r="H19" s="24">
        <f>SUM(I19:K19)</f>
        <v>0</v>
      </c>
      <c r="I19" s="24"/>
      <c r="J19" s="24"/>
      <c r="K19" s="152"/>
      <c r="L19" s="157">
        <f>SUM(E19+F19-P19)</f>
        <v>1671911</v>
      </c>
      <c r="M19" s="709">
        <v>1671911</v>
      </c>
      <c r="N19" s="105"/>
      <c r="O19" s="105"/>
      <c r="P19" s="106">
        <v>0</v>
      </c>
    </row>
    <row r="20" spans="1:16" ht="12.75" thickBot="1">
      <c r="A20" s="1422"/>
      <c r="B20" s="1450"/>
      <c r="C20" s="175">
        <v>900</v>
      </c>
      <c r="D20" s="176">
        <v>90095</v>
      </c>
      <c r="E20" s="288"/>
      <c r="F20" s="110">
        <f>SUM(G20:H20)</f>
        <v>758700</v>
      </c>
      <c r="G20" s="273">
        <v>558700</v>
      </c>
      <c r="H20" s="24">
        <f>SUM(I20:K20)</f>
        <v>200000</v>
      </c>
      <c r="I20" s="25"/>
      <c r="J20" s="25">
        <f>400000-200000</f>
        <v>200000</v>
      </c>
      <c r="K20" s="153">
        <v>0</v>
      </c>
      <c r="L20" s="157">
        <f>SUM(E20+F20-P20)</f>
        <v>758700</v>
      </c>
      <c r="M20" s="718">
        <f>958700-200000</f>
        <v>758700</v>
      </c>
      <c r="N20" s="276">
        <v>0</v>
      </c>
      <c r="O20" s="276"/>
      <c r="P20" s="277">
        <v>0</v>
      </c>
    </row>
    <row r="21" spans="1:16" ht="46.5" customHeight="1" thickBot="1">
      <c r="A21" s="474" t="s">
        <v>157</v>
      </c>
      <c r="B21" s="475" t="s">
        <v>209</v>
      </c>
      <c r="C21" s="476">
        <v>900</v>
      </c>
      <c r="D21" s="477">
        <v>90002</v>
      </c>
      <c r="E21" s="478">
        <v>110000</v>
      </c>
      <c r="F21" s="66">
        <f>SUM(G21:H21)</f>
        <v>7450000</v>
      </c>
      <c r="G21" s="479">
        <v>7450000</v>
      </c>
      <c r="H21" s="112">
        <f>SUM(I21:K21)</f>
        <v>0</v>
      </c>
      <c r="I21" s="112">
        <v>0</v>
      </c>
      <c r="J21" s="112">
        <v>0</v>
      </c>
      <c r="K21" s="738"/>
      <c r="L21" s="480">
        <f>SUM(E21+F21-P21)</f>
        <v>7450000</v>
      </c>
      <c r="M21" s="719">
        <v>7150000</v>
      </c>
      <c r="N21" s="481">
        <v>300000</v>
      </c>
      <c r="O21" s="481"/>
      <c r="P21" s="482">
        <v>110000</v>
      </c>
    </row>
    <row r="22" spans="1:16" ht="13.5" customHeight="1">
      <c r="A22" s="1451"/>
      <c r="B22" s="412" t="s">
        <v>233</v>
      </c>
      <c r="C22" s="409"/>
      <c r="D22" s="410"/>
      <c r="E22" s="413">
        <f>E23+E24+E25+E26+E27</f>
        <v>522600</v>
      </c>
      <c r="F22" s="413">
        <f aca="true" t="shared" si="2" ref="F22:P22">F23+F24+F25+F26+F27</f>
        <v>19501440</v>
      </c>
      <c r="G22" s="413">
        <f t="shared" si="2"/>
        <v>1034049</v>
      </c>
      <c r="H22" s="413">
        <f t="shared" si="2"/>
        <v>18467391</v>
      </c>
      <c r="I22" s="413">
        <f t="shared" si="2"/>
        <v>18467391</v>
      </c>
      <c r="J22" s="413">
        <f t="shared" si="2"/>
        <v>0</v>
      </c>
      <c r="K22" s="1109">
        <f t="shared" si="2"/>
        <v>0</v>
      </c>
      <c r="L22" s="1110">
        <f t="shared" si="2"/>
        <v>19548340</v>
      </c>
      <c r="M22" s="413">
        <f t="shared" si="2"/>
        <v>19548340</v>
      </c>
      <c r="N22" s="413">
        <f t="shared" si="2"/>
        <v>0</v>
      </c>
      <c r="O22" s="413">
        <f t="shared" si="2"/>
        <v>0</v>
      </c>
      <c r="P22" s="1111">
        <f t="shared" si="2"/>
        <v>475700</v>
      </c>
    </row>
    <row r="23" spans="1:16" ht="13.5" customHeight="1">
      <c r="A23" s="1452"/>
      <c r="B23" s="1453"/>
      <c r="C23" s="411">
        <v>801</v>
      </c>
      <c r="D23" s="380">
        <v>80101</v>
      </c>
      <c r="E23" s="1112">
        <f>SUM(E29+E34+E39+E45+E51+E56+E61)</f>
        <v>502500</v>
      </c>
      <c r="F23" s="435">
        <f>SUM(F29+F34+F39+F45+F51+F56+F61)</f>
        <v>18531390</v>
      </c>
      <c r="G23" s="417">
        <f aca="true" t="shared" si="3" ref="G23:N25">SUM(G29,G34,G39,G45,G51,G56,G61)</f>
        <v>960549</v>
      </c>
      <c r="H23" s="418">
        <f t="shared" si="3"/>
        <v>17570841</v>
      </c>
      <c r="I23" s="418">
        <f t="shared" si="3"/>
        <v>17570841</v>
      </c>
      <c r="J23" s="417">
        <f t="shared" si="3"/>
        <v>0</v>
      </c>
      <c r="K23" s="419">
        <f t="shared" si="3"/>
        <v>0</v>
      </c>
      <c r="L23" s="420">
        <f t="shared" si="3"/>
        <v>18576390</v>
      </c>
      <c r="M23" s="419">
        <f t="shared" si="3"/>
        <v>18576390</v>
      </c>
      <c r="N23" s="419">
        <f t="shared" si="3"/>
        <v>0</v>
      </c>
      <c r="O23" s="418"/>
      <c r="P23" s="421">
        <f>SUM(P29+P34+P39+P45+P51+P56+P61)</f>
        <v>457500</v>
      </c>
    </row>
    <row r="24" spans="1:16" ht="13.5" customHeight="1">
      <c r="A24" s="1452"/>
      <c r="B24" s="1454"/>
      <c r="C24" s="411">
        <v>801</v>
      </c>
      <c r="D24" s="380">
        <v>80103</v>
      </c>
      <c r="E24" s="415">
        <f>SUM(E30+E35+E40+E46+E52+E57+E62)</f>
        <v>18100</v>
      </c>
      <c r="F24" s="416">
        <f>SUM(F30+F35+F40+F46+F52+F57+F62)</f>
        <v>562500</v>
      </c>
      <c r="G24" s="417">
        <f t="shared" si="3"/>
        <v>0</v>
      </c>
      <c r="H24" s="418">
        <f t="shared" si="3"/>
        <v>562500</v>
      </c>
      <c r="I24" s="418">
        <f t="shared" si="3"/>
        <v>562500</v>
      </c>
      <c r="J24" s="417">
        <f t="shared" si="3"/>
        <v>0</v>
      </c>
      <c r="K24" s="419">
        <f t="shared" si="3"/>
        <v>0</v>
      </c>
      <c r="L24" s="420">
        <f t="shared" si="3"/>
        <v>564000</v>
      </c>
      <c r="M24" s="419">
        <f t="shared" si="3"/>
        <v>564000</v>
      </c>
      <c r="N24" s="419">
        <f t="shared" si="3"/>
        <v>0</v>
      </c>
      <c r="O24" s="418"/>
      <c r="P24" s="421">
        <f>SUM(P30+P35+P40+P46+P52+P57+P62)</f>
        <v>16600</v>
      </c>
    </row>
    <row r="25" spans="1:16" ht="13.5" customHeight="1">
      <c r="A25" s="1452"/>
      <c r="B25" s="1454"/>
      <c r="C25" s="411">
        <v>801</v>
      </c>
      <c r="D25" s="380">
        <v>80146</v>
      </c>
      <c r="E25" s="416">
        <f>SUM(E31,E36,E41,E47,E53,E58,E63)</f>
        <v>1000</v>
      </c>
      <c r="F25" s="416">
        <f>SUM(F31,F36,F41,F47,F53,F58,F63)</f>
        <v>91500</v>
      </c>
      <c r="G25" s="423">
        <f t="shared" si="3"/>
        <v>0</v>
      </c>
      <c r="H25" s="418">
        <f t="shared" si="3"/>
        <v>91500</v>
      </c>
      <c r="I25" s="418">
        <f t="shared" si="3"/>
        <v>91500</v>
      </c>
      <c r="J25" s="424">
        <f t="shared" si="3"/>
        <v>0</v>
      </c>
      <c r="K25" s="425">
        <f t="shared" si="3"/>
        <v>0</v>
      </c>
      <c r="L25" s="426">
        <f t="shared" si="3"/>
        <v>91900</v>
      </c>
      <c r="M25" s="425">
        <f t="shared" si="3"/>
        <v>91900</v>
      </c>
      <c r="N25" s="425">
        <f t="shared" si="3"/>
        <v>0</v>
      </c>
      <c r="O25" s="416"/>
      <c r="P25" s="427">
        <f>SUM(P31,P36,P41,P47,P53,P58,P63)</f>
        <v>600</v>
      </c>
    </row>
    <row r="26" spans="1:16" ht="13.5" customHeight="1">
      <c r="A26" s="414"/>
      <c r="B26" s="755"/>
      <c r="C26" s="411">
        <v>801</v>
      </c>
      <c r="D26" s="380">
        <v>80148</v>
      </c>
      <c r="E26" s="416">
        <f>E48</f>
        <v>1000</v>
      </c>
      <c r="F26" s="416">
        <f>F48</f>
        <v>149800</v>
      </c>
      <c r="G26" s="416">
        <f aca="true" t="shared" si="4" ref="G26:P26">G48</f>
        <v>73500</v>
      </c>
      <c r="H26" s="416">
        <f t="shared" si="4"/>
        <v>76300</v>
      </c>
      <c r="I26" s="416">
        <f t="shared" si="4"/>
        <v>76300</v>
      </c>
      <c r="J26" s="416">
        <f t="shared" si="4"/>
        <v>0</v>
      </c>
      <c r="K26" s="425">
        <f t="shared" si="4"/>
        <v>0</v>
      </c>
      <c r="L26" s="429">
        <f t="shared" si="4"/>
        <v>149800</v>
      </c>
      <c r="M26" s="416">
        <f t="shared" si="4"/>
        <v>149800</v>
      </c>
      <c r="N26" s="416">
        <f t="shared" si="4"/>
        <v>0</v>
      </c>
      <c r="O26" s="416">
        <f t="shared" si="4"/>
        <v>0</v>
      </c>
      <c r="P26" s="1113">
        <f t="shared" si="4"/>
        <v>1000</v>
      </c>
    </row>
    <row r="27" spans="1:16" ht="13.5" customHeight="1">
      <c r="A27" s="414"/>
      <c r="B27" s="428"/>
      <c r="C27" s="411">
        <v>854</v>
      </c>
      <c r="D27" s="380">
        <v>85415</v>
      </c>
      <c r="E27" s="429">
        <f>SUM(E32,E37,E42,E49,E54,E59,E64)</f>
        <v>0</v>
      </c>
      <c r="F27" s="416">
        <f>SUM(F32+F37+F42+F49+F54+F59+F64)</f>
        <v>166250</v>
      </c>
      <c r="G27" s="423">
        <f>SUM(G32,G37,G42,G49,G54,G59,G64)</f>
        <v>0</v>
      </c>
      <c r="H27" s="418">
        <f aca="true" t="shared" si="5" ref="H27:M27">SUM(H32+H37+H42+H49+H54+H59+H64)</f>
        <v>166250</v>
      </c>
      <c r="I27" s="418">
        <f t="shared" si="5"/>
        <v>166250</v>
      </c>
      <c r="J27" s="424">
        <f t="shared" si="5"/>
        <v>0</v>
      </c>
      <c r="K27" s="419">
        <f t="shared" si="5"/>
        <v>0</v>
      </c>
      <c r="L27" s="426">
        <f t="shared" si="5"/>
        <v>166250</v>
      </c>
      <c r="M27" s="419">
        <f t="shared" si="5"/>
        <v>166250</v>
      </c>
      <c r="N27" s="416"/>
      <c r="O27" s="416"/>
      <c r="P27" s="430">
        <f>SUM(P32+P37+P42+P49+P54+P59+P64)</f>
        <v>0</v>
      </c>
    </row>
    <row r="28" spans="1:16" ht="13.5" customHeight="1">
      <c r="A28" s="1422" t="s">
        <v>158</v>
      </c>
      <c r="B28" s="202" t="s">
        <v>182</v>
      </c>
      <c r="C28" s="1408" t="s">
        <v>457</v>
      </c>
      <c r="D28" s="1409"/>
      <c r="E28" s="178">
        <f aca="true" t="shared" si="6" ref="E28:P28">SUM(E29:E32)</f>
        <v>48600</v>
      </c>
      <c r="F28" s="155">
        <f t="shared" si="6"/>
        <v>2132589</v>
      </c>
      <c r="G28" s="278">
        <f t="shared" si="6"/>
        <v>76407</v>
      </c>
      <c r="H28" s="155">
        <f t="shared" si="6"/>
        <v>2056182</v>
      </c>
      <c r="I28" s="155">
        <f t="shared" si="6"/>
        <v>2056182</v>
      </c>
      <c r="J28" s="155">
        <f t="shared" si="6"/>
        <v>0</v>
      </c>
      <c r="K28" s="156">
        <f t="shared" si="6"/>
        <v>0</v>
      </c>
      <c r="L28" s="178">
        <f t="shared" si="6"/>
        <v>2132589</v>
      </c>
      <c r="M28" s="178">
        <f t="shared" si="6"/>
        <v>2132589</v>
      </c>
      <c r="N28" s="720">
        <f t="shared" si="6"/>
        <v>0</v>
      </c>
      <c r="O28" s="155">
        <f t="shared" si="6"/>
        <v>0</v>
      </c>
      <c r="P28" s="179">
        <f t="shared" si="6"/>
        <v>48600</v>
      </c>
    </row>
    <row r="29" spans="1:16" ht="13.5" customHeight="1">
      <c r="A29" s="1423"/>
      <c r="B29" s="1455"/>
      <c r="C29" s="182">
        <v>801</v>
      </c>
      <c r="D29" s="183">
        <v>80101</v>
      </c>
      <c r="E29" s="177">
        <v>48600</v>
      </c>
      <c r="F29" s="104">
        <f>G29+H29</f>
        <v>2045079</v>
      </c>
      <c r="G29" s="160">
        <v>76407</v>
      </c>
      <c r="H29" s="24">
        <f>SUM(I29:K29)</f>
        <v>1968672</v>
      </c>
      <c r="I29" s="157">
        <v>1968672</v>
      </c>
      <c r="J29" s="24">
        <v>0</v>
      </c>
      <c r="K29" s="157">
        <v>0</v>
      </c>
      <c r="L29" s="279">
        <f>SUM(E29+F29-P29)</f>
        <v>2045079</v>
      </c>
      <c r="M29" s="709">
        <v>2045079</v>
      </c>
      <c r="N29" s="105"/>
      <c r="O29" s="105"/>
      <c r="P29" s="106">
        <v>48600</v>
      </c>
    </row>
    <row r="30" spans="1:16" ht="13.5" customHeight="1">
      <c r="A30" s="1423"/>
      <c r="B30" s="1456"/>
      <c r="C30" s="182">
        <v>801</v>
      </c>
      <c r="D30" s="183">
        <v>80103</v>
      </c>
      <c r="E30" s="177"/>
      <c r="F30" s="104">
        <v>50500</v>
      </c>
      <c r="G30" s="157"/>
      <c r="H30" s="24">
        <f>SUM(I30:K30)</f>
        <v>50500</v>
      </c>
      <c r="I30" s="157">
        <v>50500</v>
      </c>
      <c r="J30" s="24"/>
      <c r="K30" s="157"/>
      <c r="L30" s="279">
        <f>SUM(E30+F30-P30)</f>
        <v>50500</v>
      </c>
      <c r="M30" s="709">
        <v>50500</v>
      </c>
      <c r="N30" s="105"/>
      <c r="O30" s="105"/>
      <c r="P30" s="106">
        <v>0</v>
      </c>
    </row>
    <row r="31" spans="1:16" ht="13.5" customHeight="1">
      <c r="A31" s="1423"/>
      <c r="B31" s="1456"/>
      <c r="C31" s="182">
        <v>801</v>
      </c>
      <c r="D31" s="183">
        <v>80146</v>
      </c>
      <c r="E31" s="274"/>
      <c r="F31" s="104">
        <v>6300</v>
      </c>
      <c r="G31" s="280"/>
      <c r="H31" s="24">
        <v>6300</v>
      </c>
      <c r="I31" s="157">
        <v>6300</v>
      </c>
      <c r="J31" s="24">
        <v>0</v>
      </c>
      <c r="K31" s="157">
        <v>0</v>
      </c>
      <c r="L31" s="279">
        <f>SUM(E31+F31-P31)</f>
        <v>6300</v>
      </c>
      <c r="M31" s="709">
        <v>6300</v>
      </c>
      <c r="N31" s="105"/>
      <c r="O31" s="105"/>
      <c r="P31" s="106">
        <v>0</v>
      </c>
    </row>
    <row r="32" spans="1:16" ht="13.5" customHeight="1">
      <c r="A32" s="201"/>
      <c r="B32" s="203"/>
      <c r="C32" s="182">
        <v>854</v>
      </c>
      <c r="D32" s="183">
        <v>85415</v>
      </c>
      <c r="E32" s="275"/>
      <c r="F32" s="104">
        <v>30710</v>
      </c>
      <c r="G32" s="281"/>
      <c r="H32" s="24">
        <f>SUM(I32:K32)</f>
        <v>30710</v>
      </c>
      <c r="I32" s="160">
        <v>30710</v>
      </c>
      <c r="J32" s="24"/>
      <c r="K32" s="157"/>
      <c r="L32" s="279">
        <f>SUM(E32+F32-P32)</f>
        <v>30710</v>
      </c>
      <c r="M32" s="709">
        <v>30710</v>
      </c>
      <c r="N32" s="105"/>
      <c r="O32" s="105"/>
      <c r="P32" s="106">
        <v>0</v>
      </c>
    </row>
    <row r="33" spans="1:16" ht="13.5" customHeight="1">
      <c r="A33" s="1422" t="s">
        <v>159</v>
      </c>
      <c r="B33" s="202" t="s">
        <v>183</v>
      </c>
      <c r="C33" s="1408" t="s">
        <v>457</v>
      </c>
      <c r="D33" s="1409"/>
      <c r="E33" s="180">
        <f aca="true" t="shared" si="7" ref="E33:P33">SUM(E34:E37)</f>
        <v>27900</v>
      </c>
      <c r="F33" s="155">
        <f t="shared" si="7"/>
        <v>1283361</v>
      </c>
      <c r="G33" s="278">
        <f t="shared" si="7"/>
        <v>36541</v>
      </c>
      <c r="H33" s="155">
        <f t="shared" si="7"/>
        <v>1246820</v>
      </c>
      <c r="I33" s="155">
        <f t="shared" si="7"/>
        <v>1246820</v>
      </c>
      <c r="J33" s="155">
        <f t="shared" si="7"/>
        <v>0</v>
      </c>
      <c r="K33" s="156">
        <f t="shared" si="7"/>
        <v>0</v>
      </c>
      <c r="L33" s="180">
        <f t="shared" si="7"/>
        <v>1283361</v>
      </c>
      <c r="M33" s="720">
        <f t="shared" si="7"/>
        <v>1283361</v>
      </c>
      <c r="N33" s="720">
        <f t="shared" si="7"/>
        <v>0</v>
      </c>
      <c r="O33" s="155">
        <f t="shared" si="7"/>
        <v>0</v>
      </c>
      <c r="P33" s="181">
        <f t="shared" si="7"/>
        <v>27900</v>
      </c>
    </row>
    <row r="34" spans="1:16" ht="13.5" customHeight="1">
      <c r="A34" s="1423"/>
      <c r="B34" s="1459"/>
      <c r="C34" s="182">
        <v>801</v>
      </c>
      <c r="D34" s="183">
        <v>80101</v>
      </c>
      <c r="E34" s="177">
        <v>23900</v>
      </c>
      <c r="F34" s="104">
        <f>SUM(G34:H34)</f>
        <v>1196541</v>
      </c>
      <c r="G34" s="24">
        <v>36541</v>
      </c>
      <c r="H34" s="24">
        <f>SUM(I34:K34)</f>
        <v>1160000</v>
      </c>
      <c r="I34" s="24">
        <f>1160000</f>
        <v>1160000</v>
      </c>
      <c r="J34" s="24">
        <v>0</v>
      </c>
      <c r="K34" s="157">
        <v>0</v>
      </c>
      <c r="L34" s="279">
        <f>SUM(E34+F34-P34)</f>
        <v>1196541</v>
      </c>
      <c r="M34" s="709">
        <f>L34</f>
        <v>1196541</v>
      </c>
      <c r="N34" s="105"/>
      <c r="O34" s="105"/>
      <c r="P34" s="106">
        <v>23900</v>
      </c>
    </row>
    <row r="35" spans="1:16" ht="13.5" customHeight="1">
      <c r="A35" s="1423"/>
      <c r="B35" s="1460"/>
      <c r="C35" s="182">
        <v>801</v>
      </c>
      <c r="D35" s="183">
        <v>80103</v>
      </c>
      <c r="E35" s="177">
        <v>4000</v>
      </c>
      <c r="F35" s="104">
        <v>57700</v>
      </c>
      <c r="G35" s="24"/>
      <c r="H35" s="24">
        <f>SUM(I35:K35)</f>
        <v>57700</v>
      </c>
      <c r="I35" s="24">
        <v>57700</v>
      </c>
      <c r="J35" s="24"/>
      <c r="K35" s="157"/>
      <c r="L35" s="279">
        <v>57700</v>
      </c>
      <c r="M35" s="709">
        <v>57700</v>
      </c>
      <c r="N35" s="105"/>
      <c r="O35" s="105"/>
      <c r="P35" s="106">
        <v>4000</v>
      </c>
    </row>
    <row r="36" spans="1:16" ht="13.5" customHeight="1">
      <c r="A36" s="1423"/>
      <c r="B36" s="1460"/>
      <c r="C36" s="182">
        <v>801</v>
      </c>
      <c r="D36" s="183">
        <v>80146</v>
      </c>
      <c r="E36" s="274"/>
      <c r="F36" s="104">
        <v>18800</v>
      </c>
      <c r="G36" s="282"/>
      <c r="H36" s="24">
        <f>SUM(I36:K36)</f>
        <v>18800</v>
      </c>
      <c r="I36" s="24">
        <v>18800</v>
      </c>
      <c r="J36" s="24">
        <v>0</v>
      </c>
      <c r="K36" s="157">
        <v>0</v>
      </c>
      <c r="L36" s="279">
        <f>SUM(E36+F36-P36)</f>
        <v>18800</v>
      </c>
      <c r="M36" s="709">
        <v>18800</v>
      </c>
      <c r="N36" s="105"/>
      <c r="O36" s="105"/>
      <c r="P36" s="106"/>
    </row>
    <row r="37" spans="1:16" ht="13.5" customHeight="1">
      <c r="A37" s="201"/>
      <c r="B37" s="204"/>
      <c r="C37" s="182">
        <v>854</v>
      </c>
      <c r="D37" s="183">
        <v>85415</v>
      </c>
      <c r="E37" s="275">
        <v>0</v>
      </c>
      <c r="F37" s="104">
        <v>10320</v>
      </c>
      <c r="G37" s="283"/>
      <c r="H37" s="24">
        <f>SUM(I37:K37)</f>
        <v>10320</v>
      </c>
      <c r="I37" s="24">
        <v>10320</v>
      </c>
      <c r="J37" s="24"/>
      <c r="K37" s="157"/>
      <c r="L37" s="279">
        <f>SUM(E37+F37-P37)</f>
        <v>10320</v>
      </c>
      <c r="M37" s="709">
        <v>10320</v>
      </c>
      <c r="N37" s="105"/>
      <c r="O37" s="105"/>
      <c r="P37" s="106"/>
    </row>
    <row r="38" spans="1:16" ht="13.5" customHeight="1">
      <c r="A38" s="1422" t="s">
        <v>160</v>
      </c>
      <c r="B38" s="202" t="s">
        <v>184</v>
      </c>
      <c r="C38" s="1408" t="s">
        <v>457</v>
      </c>
      <c r="D38" s="1409"/>
      <c r="E38" s="180">
        <f aca="true" t="shared" si="8" ref="E38:P38">SUM(E39:E42)</f>
        <v>50000</v>
      </c>
      <c r="F38" s="155">
        <f t="shared" si="8"/>
        <v>2936920</v>
      </c>
      <c r="G38" s="155">
        <f t="shared" si="8"/>
        <v>133050</v>
      </c>
      <c r="H38" s="278">
        <f t="shared" si="8"/>
        <v>2803870</v>
      </c>
      <c r="I38" s="155">
        <f t="shared" si="8"/>
        <v>2803870</v>
      </c>
      <c r="J38" s="155">
        <f t="shared" si="8"/>
        <v>0</v>
      </c>
      <c r="K38" s="156">
        <f t="shared" si="8"/>
        <v>0</v>
      </c>
      <c r="L38" s="180">
        <f t="shared" si="8"/>
        <v>2936920</v>
      </c>
      <c r="M38" s="720">
        <f t="shared" si="8"/>
        <v>2936920</v>
      </c>
      <c r="N38" s="155"/>
      <c r="O38" s="155"/>
      <c r="P38" s="181">
        <f t="shared" si="8"/>
        <v>50000</v>
      </c>
    </row>
    <row r="39" spans="1:16" ht="13.5" customHeight="1">
      <c r="A39" s="1423"/>
      <c r="B39" s="1455"/>
      <c r="C39" s="182">
        <v>801</v>
      </c>
      <c r="D39" s="183">
        <v>80101</v>
      </c>
      <c r="E39" s="177">
        <v>50000</v>
      </c>
      <c r="F39" s="104">
        <f>SUM(G39:H39)</f>
        <v>2893050</v>
      </c>
      <c r="G39" s="24">
        <v>133050</v>
      </c>
      <c r="H39" s="24">
        <f>SUM(I39:K39)</f>
        <v>2760000</v>
      </c>
      <c r="I39" s="24">
        <f>2760000</f>
        <v>2760000</v>
      </c>
      <c r="J39" s="24"/>
      <c r="K39" s="157"/>
      <c r="L39" s="279">
        <f>SUM(E39+F39-P39)</f>
        <v>2893050</v>
      </c>
      <c r="M39" s="709">
        <f>2893050</f>
        <v>2893050</v>
      </c>
      <c r="N39" s="105"/>
      <c r="O39" s="105"/>
      <c r="P39" s="106">
        <v>50000</v>
      </c>
    </row>
    <row r="40" spans="1:16" ht="13.5" customHeight="1">
      <c r="A40" s="1423"/>
      <c r="B40" s="1456"/>
      <c r="C40" s="182">
        <v>801</v>
      </c>
      <c r="D40" s="183">
        <v>80103</v>
      </c>
      <c r="E40" s="177"/>
      <c r="F40" s="104">
        <f>SUM(G40:H40)</f>
        <v>0</v>
      </c>
      <c r="G40" s="24"/>
      <c r="H40" s="157"/>
      <c r="I40" s="24"/>
      <c r="J40" s="24"/>
      <c r="K40" s="157"/>
      <c r="L40" s="279">
        <f>SUM(E40+F40-P40)</f>
        <v>0</v>
      </c>
      <c r="M40" s="709"/>
      <c r="N40" s="105"/>
      <c r="O40" s="105"/>
      <c r="P40" s="106"/>
    </row>
    <row r="41" spans="1:16" ht="13.5" customHeight="1">
      <c r="A41" s="1423"/>
      <c r="B41" s="1456"/>
      <c r="C41" s="182">
        <v>801</v>
      </c>
      <c r="D41" s="183">
        <v>80146</v>
      </c>
      <c r="E41" s="545"/>
      <c r="F41" s="104">
        <f>SUM(G41:H41)</f>
        <v>17800</v>
      </c>
      <c r="G41" s="24"/>
      <c r="H41" s="157">
        <v>17800</v>
      </c>
      <c r="I41" s="24">
        <v>17800</v>
      </c>
      <c r="J41" s="24"/>
      <c r="K41" s="157"/>
      <c r="L41" s="279">
        <f>SUM(E41+F41-P41)</f>
        <v>17800</v>
      </c>
      <c r="M41" s="709">
        <v>17800</v>
      </c>
      <c r="N41" s="105"/>
      <c r="O41" s="105"/>
      <c r="P41" s="106">
        <v>0</v>
      </c>
    </row>
    <row r="42" spans="1:16" ht="13.5" customHeight="1" thickBot="1">
      <c r="A42" s="1427"/>
      <c r="B42" s="1461"/>
      <c r="C42" s="217">
        <v>854</v>
      </c>
      <c r="D42" s="214">
        <v>85415</v>
      </c>
      <c r="E42" s="546"/>
      <c r="F42" s="110">
        <f>SUM(G42:H42)</f>
        <v>26070</v>
      </c>
      <c r="G42" s="284"/>
      <c r="H42" s="158">
        <v>26070</v>
      </c>
      <c r="I42" s="171">
        <v>26070</v>
      </c>
      <c r="J42" s="195"/>
      <c r="K42" s="165"/>
      <c r="L42" s="285">
        <f>SUM(E42+F42-P42)</f>
        <v>26070</v>
      </c>
      <c r="M42" s="721">
        <v>26070</v>
      </c>
      <c r="N42" s="197"/>
      <c r="O42" s="197"/>
      <c r="P42" s="198">
        <v>0</v>
      </c>
    </row>
    <row r="43" spans="1:16" ht="12.75" thickBot="1">
      <c r="A43" s="548">
        <v>1</v>
      </c>
      <c r="B43" s="549">
        <v>2</v>
      </c>
      <c r="C43" s="548">
        <v>3</v>
      </c>
      <c r="D43" s="550">
        <v>4</v>
      </c>
      <c r="E43" s="551">
        <v>5</v>
      </c>
      <c r="F43" s="552">
        <v>6</v>
      </c>
      <c r="G43" s="553">
        <v>7</v>
      </c>
      <c r="H43" s="552">
        <v>8</v>
      </c>
      <c r="I43" s="552">
        <v>9</v>
      </c>
      <c r="J43" s="552">
        <v>10</v>
      </c>
      <c r="K43" s="552">
        <v>11</v>
      </c>
      <c r="L43" s="554">
        <v>12</v>
      </c>
      <c r="M43" s="549">
        <v>13</v>
      </c>
      <c r="N43" s="552">
        <v>14</v>
      </c>
      <c r="O43" s="552">
        <v>15</v>
      </c>
      <c r="P43" s="555">
        <v>16</v>
      </c>
    </row>
    <row r="44" spans="1:16" ht="13.5" customHeight="1">
      <c r="A44" s="1462" t="s">
        <v>161</v>
      </c>
      <c r="B44" s="739" t="s">
        <v>262</v>
      </c>
      <c r="C44" s="1465" t="s">
        <v>457</v>
      </c>
      <c r="D44" s="1466"/>
      <c r="E44" s="172">
        <f aca="true" t="shared" si="9" ref="E44:P44">SUM(E45:E49)</f>
        <v>22000</v>
      </c>
      <c r="F44" s="159">
        <f t="shared" si="9"/>
        <v>1662160</v>
      </c>
      <c r="G44" s="286">
        <f t="shared" si="9"/>
        <v>184600</v>
      </c>
      <c r="H44" s="159">
        <f t="shared" si="9"/>
        <v>1477560</v>
      </c>
      <c r="I44" s="159">
        <f t="shared" si="9"/>
        <v>1477560</v>
      </c>
      <c r="J44" s="159">
        <f t="shared" si="9"/>
        <v>0</v>
      </c>
      <c r="K44" s="192">
        <f t="shared" si="9"/>
        <v>0</v>
      </c>
      <c r="L44" s="172">
        <f t="shared" si="9"/>
        <v>1677160</v>
      </c>
      <c r="M44" s="722">
        <f t="shared" si="9"/>
        <v>1677160</v>
      </c>
      <c r="N44" s="159"/>
      <c r="O44" s="159"/>
      <c r="P44" s="191">
        <f t="shared" si="9"/>
        <v>7000</v>
      </c>
    </row>
    <row r="45" spans="1:16" ht="13.5" customHeight="1">
      <c r="A45" s="1463"/>
      <c r="B45" s="740" t="s">
        <v>263</v>
      </c>
      <c r="C45" s="182">
        <v>801</v>
      </c>
      <c r="D45" s="183">
        <v>80101</v>
      </c>
      <c r="E45" s="196">
        <v>20000</v>
      </c>
      <c r="F45" s="104">
        <f>SUM(G45:H45)</f>
        <v>1386100</v>
      </c>
      <c r="G45" s="160">
        <v>111100</v>
      </c>
      <c r="H45" s="160">
        <v>1275000</v>
      </c>
      <c r="I45" s="173">
        <v>1275000</v>
      </c>
      <c r="J45" s="24"/>
      <c r="K45" s="152"/>
      <c r="L45" s="279">
        <f>SUM(E45+F45-P45)</f>
        <v>1401100</v>
      </c>
      <c r="M45" s="173">
        <v>1401100</v>
      </c>
      <c r="N45" s="24"/>
      <c r="O45" s="24"/>
      <c r="P45" s="106">
        <v>5000</v>
      </c>
    </row>
    <row r="46" spans="1:16" s="114" customFormat="1" ht="13.5" customHeight="1">
      <c r="A46" s="1463"/>
      <c r="B46" s="741"/>
      <c r="C46" s="252">
        <v>801</v>
      </c>
      <c r="D46" s="253">
        <v>80103</v>
      </c>
      <c r="E46" s="256">
        <v>1000</v>
      </c>
      <c r="F46" s="254">
        <f>SUM(G46:H46)</f>
        <v>101700</v>
      </c>
      <c r="G46" s="257"/>
      <c r="H46" s="257">
        <v>101700</v>
      </c>
      <c r="I46" s="248">
        <v>101700</v>
      </c>
      <c r="J46" s="247"/>
      <c r="K46" s="251"/>
      <c r="L46" s="279">
        <f>SUM(E46+F46-P46)</f>
        <v>101700</v>
      </c>
      <c r="M46" s="723">
        <f>L46</f>
        <v>101700</v>
      </c>
      <c r="N46" s="247"/>
      <c r="O46" s="247"/>
      <c r="P46" s="255">
        <v>1000</v>
      </c>
    </row>
    <row r="47" spans="1:16" ht="13.5" customHeight="1">
      <c r="A47" s="1463"/>
      <c r="B47" s="741"/>
      <c r="C47" s="182">
        <v>801</v>
      </c>
      <c r="D47" s="183">
        <v>80146</v>
      </c>
      <c r="E47" s="274"/>
      <c r="F47" s="104">
        <f>SUM(G47:H47)</f>
        <v>4200</v>
      </c>
      <c r="G47" s="282"/>
      <c r="H47" s="160">
        <v>4200</v>
      </c>
      <c r="I47" s="157">
        <v>4200</v>
      </c>
      <c r="J47" s="24"/>
      <c r="K47" s="152"/>
      <c r="L47" s="279">
        <f>SUM(E47+F47-P47)</f>
        <v>4200</v>
      </c>
      <c r="M47" s="723">
        <f>L47</f>
        <v>4200</v>
      </c>
      <c r="N47" s="24"/>
      <c r="O47" s="24"/>
      <c r="P47" s="106"/>
    </row>
    <row r="48" spans="1:16" ht="13.5" customHeight="1">
      <c r="A48" s="1463"/>
      <c r="B48" s="741"/>
      <c r="C48" s="182">
        <v>801</v>
      </c>
      <c r="D48" s="183">
        <v>80148</v>
      </c>
      <c r="E48" s="274">
        <v>1000</v>
      </c>
      <c r="F48" s="104">
        <f>SUM(G48:H48)</f>
        <v>149800</v>
      </c>
      <c r="G48" s="282">
        <v>73500</v>
      </c>
      <c r="H48" s="160">
        <v>76300</v>
      </c>
      <c r="I48" s="174">
        <v>76300</v>
      </c>
      <c r="J48" s="218"/>
      <c r="K48" s="219"/>
      <c r="L48" s="279">
        <f>SUM(E48+F48-P48)</f>
        <v>149800</v>
      </c>
      <c r="M48" s="723">
        <f>L48</f>
        <v>149800</v>
      </c>
      <c r="N48" s="218"/>
      <c r="O48" s="218"/>
      <c r="P48" s="220">
        <v>1000</v>
      </c>
    </row>
    <row r="49" spans="1:16" ht="13.5" customHeight="1">
      <c r="A49" s="1464"/>
      <c r="B49" s="740"/>
      <c r="C49" s="182">
        <v>854</v>
      </c>
      <c r="D49" s="183">
        <v>85415</v>
      </c>
      <c r="E49" s="287">
        <v>0</v>
      </c>
      <c r="F49" s="104">
        <f>SUM(G49:H49)</f>
        <v>20360</v>
      </c>
      <c r="G49" s="282"/>
      <c r="H49" s="160">
        <v>20360</v>
      </c>
      <c r="I49" s="174">
        <v>20360</v>
      </c>
      <c r="J49" s="218"/>
      <c r="K49" s="219"/>
      <c r="L49" s="279">
        <f>SUM(E49+F49-P49)</f>
        <v>20360</v>
      </c>
      <c r="M49" s="723">
        <f>L49</f>
        <v>20360</v>
      </c>
      <c r="N49" s="218"/>
      <c r="O49" s="218"/>
      <c r="P49" s="220"/>
    </row>
    <row r="50" spans="1:16" ht="12">
      <c r="A50" s="1462" t="s">
        <v>162</v>
      </c>
      <c r="B50" s="68" t="s">
        <v>186</v>
      </c>
      <c r="C50" s="1408" t="s">
        <v>457</v>
      </c>
      <c r="D50" s="1409"/>
      <c r="E50" s="170">
        <f aca="true" t="shared" si="10" ref="E50:L50">SUM(E51:E54)</f>
        <v>285500</v>
      </c>
      <c r="F50" s="155">
        <f t="shared" si="10"/>
        <v>6954930</v>
      </c>
      <c r="G50" s="170">
        <f t="shared" si="10"/>
        <v>295931</v>
      </c>
      <c r="H50" s="161">
        <f t="shared" si="10"/>
        <v>6658999</v>
      </c>
      <c r="I50" s="161">
        <f t="shared" si="10"/>
        <v>6658999</v>
      </c>
      <c r="J50" s="161">
        <f t="shared" si="10"/>
        <v>0</v>
      </c>
      <c r="K50" s="193">
        <f t="shared" si="10"/>
        <v>0</v>
      </c>
      <c r="L50" s="170">
        <f t="shared" si="10"/>
        <v>6986830</v>
      </c>
      <c r="M50" s="720">
        <f>SUM(M51:M54)</f>
        <v>6986830</v>
      </c>
      <c r="N50" s="161"/>
      <c r="O50" s="161"/>
      <c r="P50" s="205">
        <f>SUM(P51:P53)</f>
        <v>253600</v>
      </c>
    </row>
    <row r="51" spans="1:16" ht="13.5" customHeight="1">
      <c r="A51" s="1463"/>
      <c r="B51" s="1410"/>
      <c r="C51" s="182">
        <v>801</v>
      </c>
      <c r="D51" s="183">
        <v>80101</v>
      </c>
      <c r="E51" s="196">
        <v>280000</v>
      </c>
      <c r="F51" s="104">
        <f>SUM(G51:H51)</f>
        <v>6783100</v>
      </c>
      <c r="G51" s="157">
        <v>295931</v>
      </c>
      <c r="H51" s="24">
        <f>SUM(I51:K51)</f>
        <v>6487169</v>
      </c>
      <c r="I51" s="157">
        <f>6500000-12831</f>
        <v>6487169</v>
      </c>
      <c r="J51" s="24"/>
      <c r="K51" s="152"/>
      <c r="L51" s="279">
        <f>SUM(E51+F51-P51)</f>
        <v>6813100</v>
      </c>
      <c r="M51" s="173">
        <f>6825931-12831</f>
        <v>6813100</v>
      </c>
      <c r="N51" s="24"/>
      <c r="O51" s="24"/>
      <c r="P51" s="106">
        <v>250000</v>
      </c>
    </row>
    <row r="52" spans="1:16" ht="13.5" customHeight="1">
      <c r="A52" s="1463"/>
      <c r="B52" s="1411"/>
      <c r="C52" s="182">
        <v>801</v>
      </c>
      <c r="D52" s="183">
        <v>80103</v>
      </c>
      <c r="E52" s="196">
        <v>4500</v>
      </c>
      <c r="F52" s="104">
        <f>SUM(G52:H52)</f>
        <v>102500</v>
      </c>
      <c r="G52" s="157"/>
      <c r="H52" s="24">
        <v>102500</v>
      </c>
      <c r="I52" s="157">
        <v>102500</v>
      </c>
      <c r="J52" s="24"/>
      <c r="K52" s="152"/>
      <c r="L52" s="279">
        <f>SUM(E52+F52-P52)</f>
        <v>104000</v>
      </c>
      <c r="M52" s="173">
        <v>104000</v>
      </c>
      <c r="N52" s="24"/>
      <c r="O52" s="24"/>
      <c r="P52" s="106">
        <v>3000</v>
      </c>
    </row>
    <row r="53" spans="1:16" ht="13.5" customHeight="1">
      <c r="A53" s="1463"/>
      <c r="B53" s="1411"/>
      <c r="C53" s="182">
        <v>801</v>
      </c>
      <c r="D53" s="183">
        <v>80146</v>
      </c>
      <c r="E53" s="287">
        <v>1000</v>
      </c>
      <c r="F53" s="104">
        <f>SUM(G53:H53)</f>
        <v>31600</v>
      </c>
      <c r="G53" s="157"/>
      <c r="H53" s="24">
        <f>SUM(I53:K53)</f>
        <v>31600</v>
      </c>
      <c r="I53" s="157">
        <v>31600</v>
      </c>
      <c r="J53" s="24"/>
      <c r="K53" s="152"/>
      <c r="L53" s="279">
        <f>SUM(E53+F53-P53)</f>
        <v>32000</v>
      </c>
      <c r="M53" s="173">
        <v>32000</v>
      </c>
      <c r="N53" s="24"/>
      <c r="O53" s="24"/>
      <c r="P53" s="106">
        <v>600</v>
      </c>
    </row>
    <row r="54" spans="1:16" ht="13.5" customHeight="1">
      <c r="A54" s="1464"/>
      <c r="B54" s="1412"/>
      <c r="C54" s="182">
        <v>854</v>
      </c>
      <c r="D54" s="183">
        <v>85415</v>
      </c>
      <c r="E54" s="287">
        <v>0</v>
      </c>
      <c r="F54" s="104">
        <f>SUM(G54:H54)</f>
        <v>37730</v>
      </c>
      <c r="G54" s="157"/>
      <c r="H54" s="24">
        <f>SUM(I54:K54)</f>
        <v>37730</v>
      </c>
      <c r="I54" s="157">
        <v>37730</v>
      </c>
      <c r="J54" s="24"/>
      <c r="K54" s="152"/>
      <c r="L54" s="279">
        <f>SUM(E54+F54-P54)</f>
        <v>37730</v>
      </c>
      <c r="M54" s="173">
        <v>37730</v>
      </c>
      <c r="N54" s="24"/>
      <c r="O54" s="24"/>
      <c r="P54" s="106">
        <v>0</v>
      </c>
    </row>
    <row r="55" spans="1:16" ht="13.5" customHeight="1">
      <c r="A55" s="1462" t="s">
        <v>163</v>
      </c>
      <c r="B55" s="68" t="s">
        <v>187</v>
      </c>
      <c r="C55" s="1408" t="s">
        <v>457</v>
      </c>
      <c r="D55" s="1409"/>
      <c r="E55" s="170">
        <f aca="true" t="shared" si="11" ref="E55:M55">SUM(E56:E59)</f>
        <v>46600</v>
      </c>
      <c r="F55" s="161">
        <f t="shared" si="11"/>
        <v>2225250</v>
      </c>
      <c r="G55" s="170">
        <f t="shared" si="11"/>
        <v>231400</v>
      </c>
      <c r="H55" s="161">
        <f t="shared" si="11"/>
        <v>1993850</v>
      </c>
      <c r="I55" s="161">
        <f t="shared" si="11"/>
        <v>1993850</v>
      </c>
      <c r="J55" s="161">
        <f t="shared" si="11"/>
        <v>0</v>
      </c>
      <c r="K55" s="193">
        <f t="shared" si="11"/>
        <v>0</v>
      </c>
      <c r="L55" s="724">
        <f t="shared" si="11"/>
        <v>2225250</v>
      </c>
      <c r="M55" s="170">
        <f t="shared" si="11"/>
        <v>2225250</v>
      </c>
      <c r="N55" s="161"/>
      <c r="O55" s="161"/>
      <c r="P55" s="205">
        <f>SUM(P56:P59)</f>
        <v>46600</v>
      </c>
    </row>
    <row r="56" spans="1:16" ht="13.5" customHeight="1">
      <c r="A56" s="1463"/>
      <c r="B56" s="1410"/>
      <c r="C56" s="182">
        <v>801</v>
      </c>
      <c r="D56" s="183">
        <v>80101</v>
      </c>
      <c r="E56" s="196">
        <v>40000</v>
      </c>
      <c r="F56" s="104">
        <f>SUM(G56:H56)</f>
        <v>2051400</v>
      </c>
      <c r="G56" s="157">
        <v>231400</v>
      </c>
      <c r="H56" s="24">
        <v>1820000</v>
      </c>
      <c r="I56" s="157">
        <v>1820000</v>
      </c>
      <c r="J56" s="24"/>
      <c r="K56" s="152"/>
      <c r="L56" s="279">
        <f>SUM(E56+F56-P56)</f>
        <v>2051400</v>
      </c>
      <c r="M56" s="173">
        <v>2051400</v>
      </c>
      <c r="N56" s="24"/>
      <c r="O56" s="24"/>
      <c r="P56" s="106">
        <v>40000</v>
      </c>
    </row>
    <row r="57" spans="1:16" s="114" customFormat="1" ht="13.5" customHeight="1">
      <c r="A57" s="1463"/>
      <c r="B57" s="1411"/>
      <c r="C57" s="252">
        <v>801</v>
      </c>
      <c r="D57" s="253">
        <v>80103</v>
      </c>
      <c r="E57" s="196">
        <v>6600</v>
      </c>
      <c r="F57" s="104">
        <f>SUM(G57:H57)</f>
        <v>146900</v>
      </c>
      <c r="G57" s="157"/>
      <c r="H57" s="24">
        <v>146900</v>
      </c>
      <c r="I57" s="157">
        <v>146900</v>
      </c>
      <c r="J57" s="24"/>
      <c r="K57" s="152"/>
      <c r="L57" s="279">
        <f>SUM(E57+F57-P57)</f>
        <v>146900</v>
      </c>
      <c r="M57" s="173">
        <v>146900</v>
      </c>
      <c r="N57" s="24"/>
      <c r="O57" s="24"/>
      <c r="P57" s="106">
        <v>6600</v>
      </c>
    </row>
    <row r="58" spans="1:16" ht="13.5" customHeight="1">
      <c r="A58" s="1463"/>
      <c r="B58" s="1411"/>
      <c r="C58" s="182">
        <v>801</v>
      </c>
      <c r="D58" s="183">
        <v>80146</v>
      </c>
      <c r="E58" s="287"/>
      <c r="F58" s="104">
        <f>SUM(G58:H58)</f>
        <v>6400</v>
      </c>
      <c r="G58" s="157"/>
      <c r="H58" s="24">
        <f>SUM(I58:K58)</f>
        <v>6400</v>
      </c>
      <c r="I58" s="157">
        <v>6400</v>
      </c>
      <c r="J58" s="24"/>
      <c r="K58" s="152"/>
      <c r="L58" s="279">
        <f>SUM(E58+F58-P58)</f>
        <v>6400</v>
      </c>
      <c r="M58" s="173">
        <v>6400</v>
      </c>
      <c r="N58" s="24"/>
      <c r="O58" s="24"/>
      <c r="P58" s="106"/>
    </row>
    <row r="59" spans="1:16" ht="13.5" customHeight="1">
      <c r="A59" s="94"/>
      <c r="B59" s="1412"/>
      <c r="C59" s="182">
        <v>854</v>
      </c>
      <c r="D59" s="183">
        <v>85415</v>
      </c>
      <c r="E59" s="287">
        <v>0</v>
      </c>
      <c r="F59" s="104">
        <f>SUM(G59:H59)</f>
        <v>20550</v>
      </c>
      <c r="G59" s="157"/>
      <c r="H59" s="24">
        <f>SUM(I59:K59)</f>
        <v>20550</v>
      </c>
      <c r="I59" s="157">
        <v>20550</v>
      </c>
      <c r="J59" s="24"/>
      <c r="K59" s="152"/>
      <c r="L59" s="279">
        <f>SUM(E59+F59-P59)</f>
        <v>20550</v>
      </c>
      <c r="M59" s="173">
        <v>20550</v>
      </c>
      <c r="N59" s="24"/>
      <c r="O59" s="24"/>
      <c r="P59" s="106">
        <v>0</v>
      </c>
    </row>
    <row r="60" spans="1:16" ht="13.5" customHeight="1">
      <c r="A60" s="1462" t="s">
        <v>164</v>
      </c>
      <c r="B60" s="742" t="s">
        <v>264</v>
      </c>
      <c r="C60" s="1408" t="s">
        <v>457</v>
      </c>
      <c r="D60" s="1409"/>
      <c r="E60" s="156">
        <f aca="true" t="shared" si="12" ref="E60:P60">SUM(E61:E64)</f>
        <v>42000</v>
      </c>
      <c r="F60" s="155">
        <f t="shared" si="12"/>
        <v>2306230</v>
      </c>
      <c r="G60" s="156">
        <f t="shared" si="12"/>
        <v>76120</v>
      </c>
      <c r="H60" s="155">
        <f t="shared" si="12"/>
        <v>2230110</v>
      </c>
      <c r="I60" s="155">
        <f t="shared" si="12"/>
        <v>2230110</v>
      </c>
      <c r="J60" s="155">
        <f t="shared" si="12"/>
        <v>0</v>
      </c>
      <c r="K60" s="194">
        <f t="shared" si="12"/>
        <v>0</v>
      </c>
      <c r="L60" s="156">
        <f t="shared" si="12"/>
        <v>2306230</v>
      </c>
      <c r="M60" s="720">
        <f t="shared" si="12"/>
        <v>2306230</v>
      </c>
      <c r="N60" s="155"/>
      <c r="O60" s="155"/>
      <c r="P60" s="181">
        <f t="shared" si="12"/>
        <v>42000</v>
      </c>
    </row>
    <row r="61" spans="1:16" ht="13.5" customHeight="1">
      <c r="A61" s="1463"/>
      <c r="B61" s="743" t="s">
        <v>265</v>
      </c>
      <c r="C61" s="182">
        <v>801</v>
      </c>
      <c r="D61" s="183">
        <v>80101</v>
      </c>
      <c r="E61" s="196">
        <v>40000</v>
      </c>
      <c r="F61" s="104">
        <f>SUM(G61:H61)</f>
        <v>2176120</v>
      </c>
      <c r="G61" s="157">
        <v>76120</v>
      </c>
      <c r="H61" s="24">
        <v>2100000</v>
      </c>
      <c r="I61" s="157">
        <v>2100000</v>
      </c>
      <c r="J61" s="24"/>
      <c r="K61" s="152"/>
      <c r="L61" s="279">
        <f>SUM(E61+F61-P61)</f>
        <v>2176120</v>
      </c>
      <c r="M61" s="173">
        <v>2176120</v>
      </c>
      <c r="N61" s="24"/>
      <c r="O61" s="24"/>
      <c r="P61" s="106">
        <v>40000</v>
      </c>
    </row>
    <row r="62" spans="1:16" s="114" customFormat="1" ht="13.5" customHeight="1">
      <c r="A62" s="1463"/>
      <c r="B62" s="744"/>
      <c r="C62" s="252">
        <v>801</v>
      </c>
      <c r="D62" s="253">
        <v>80103</v>
      </c>
      <c r="E62" s="256">
        <v>2000</v>
      </c>
      <c r="F62" s="254">
        <f>SUM(G62:H62)</f>
        <v>103200</v>
      </c>
      <c r="G62" s="248">
        <v>0</v>
      </c>
      <c r="H62" s="247">
        <v>103200</v>
      </c>
      <c r="I62" s="248">
        <v>103200</v>
      </c>
      <c r="J62" s="247"/>
      <c r="K62" s="723"/>
      <c r="L62" s="279">
        <f>SUM(E62+F62-P62)</f>
        <v>103200</v>
      </c>
      <c r="M62" s="173">
        <f>L62</f>
        <v>103200</v>
      </c>
      <c r="N62" s="247"/>
      <c r="O62" s="247"/>
      <c r="P62" s="255">
        <v>2000</v>
      </c>
    </row>
    <row r="63" spans="1:16" ht="13.5" customHeight="1">
      <c r="A63" s="1463"/>
      <c r="B63" s="744"/>
      <c r="C63" s="182">
        <v>801</v>
      </c>
      <c r="D63" s="183">
        <v>80146</v>
      </c>
      <c r="E63" s="274"/>
      <c r="F63" s="104">
        <f>SUM(G63:H63)</f>
        <v>6400</v>
      </c>
      <c r="G63" s="280"/>
      <c r="H63" s="24">
        <f>SUM(I63:K63)</f>
        <v>6400</v>
      </c>
      <c r="I63" s="173">
        <v>6400</v>
      </c>
      <c r="J63" s="24"/>
      <c r="K63" s="157"/>
      <c r="L63" s="279">
        <f>SUM(E63+F63-P63)</f>
        <v>6400</v>
      </c>
      <c r="M63" s="173">
        <f>L63</f>
        <v>6400</v>
      </c>
      <c r="N63" s="24"/>
      <c r="O63" s="24"/>
      <c r="P63" s="106"/>
    </row>
    <row r="64" spans="1:16" ht="13.5" customHeight="1" thickBot="1">
      <c r="A64" s="154"/>
      <c r="B64" s="745"/>
      <c r="C64" s="184">
        <v>854</v>
      </c>
      <c r="D64" s="185">
        <v>85415</v>
      </c>
      <c r="E64" s="288"/>
      <c r="F64" s="110">
        <f>SUM(G64:H64)</f>
        <v>20510</v>
      </c>
      <c r="G64" s="289"/>
      <c r="H64" s="25">
        <f>SUM(I64:K64)</f>
        <v>20510</v>
      </c>
      <c r="I64" s="195">
        <v>20510</v>
      </c>
      <c r="J64" s="165"/>
      <c r="K64" s="171"/>
      <c r="L64" s="285">
        <f>SUM(E64+F64-P64)</f>
        <v>20510</v>
      </c>
      <c r="M64" s="25">
        <f>L64</f>
        <v>20510</v>
      </c>
      <c r="N64" s="195"/>
      <c r="O64" s="195"/>
      <c r="P64" s="198"/>
    </row>
    <row r="65" spans="1:16" ht="13.5" customHeight="1">
      <c r="A65" s="1467"/>
      <c r="B65" s="431" t="s">
        <v>236</v>
      </c>
      <c r="C65" s="432"/>
      <c r="D65" s="433"/>
      <c r="E65" s="434">
        <f>E66+E67</f>
        <v>126000</v>
      </c>
      <c r="F65" s="434">
        <f aca="true" t="shared" si="13" ref="F65:P65">F66+F67</f>
        <v>10077600</v>
      </c>
      <c r="G65" s="434">
        <f t="shared" si="13"/>
        <v>2518100</v>
      </c>
      <c r="H65" s="434">
        <f t="shared" si="13"/>
        <v>7559500</v>
      </c>
      <c r="I65" s="434">
        <f t="shared" si="13"/>
        <v>7559500</v>
      </c>
      <c r="J65" s="434">
        <f t="shared" si="13"/>
        <v>0</v>
      </c>
      <c r="K65" s="980">
        <f t="shared" si="13"/>
        <v>0</v>
      </c>
      <c r="L65" s="981">
        <f t="shared" si="13"/>
        <v>10077600</v>
      </c>
      <c r="M65" s="434">
        <f t="shared" si="13"/>
        <v>10071300</v>
      </c>
      <c r="N65" s="434">
        <f t="shared" si="13"/>
        <v>6300</v>
      </c>
      <c r="O65" s="434">
        <f t="shared" si="13"/>
        <v>0</v>
      </c>
      <c r="P65" s="1114">
        <f t="shared" si="13"/>
        <v>126000</v>
      </c>
    </row>
    <row r="66" spans="1:16" ht="13.5" customHeight="1">
      <c r="A66" s="1467"/>
      <c r="B66" s="1468"/>
      <c r="C66" s="432">
        <v>801</v>
      </c>
      <c r="D66" s="433">
        <v>80104</v>
      </c>
      <c r="E66" s="435">
        <f aca="true" t="shared" si="14" ref="E66:N66">SUM(E69,E72,E75,E78,E81,E84,E87,E91,E94)</f>
        <v>126000</v>
      </c>
      <c r="F66" s="418">
        <f t="shared" si="14"/>
        <v>10046100</v>
      </c>
      <c r="G66" s="422">
        <f t="shared" si="14"/>
        <v>2518100</v>
      </c>
      <c r="H66" s="417">
        <f t="shared" si="14"/>
        <v>7528000</v>
      </c>
      <c r="I66" s="418">
        <f t="shared" si="14"/>
        <v>7528000</v>
      </c>
      <c r="J66" s="417">
        <f t="shared" si="14"/>
        <v>0</v>
      </c>
      <c r="K66" s="419">
        <f t="shared" si="14"/>
        <v>0</v>
      </c>
      <c r="L66" s="979">
        <f t="shared" si="14"/>
        <v>10046100</v>
      </c>
      <c r="M66" s="419">
        <f t="shared" si="14"/>
        <v>10039800</v>
      </c>
      <c r="N66" s="419">
        <f t="shared" si="14"/>
        <v>6300</v>
      </c>
      <c r="O66" s="418"/>
      <c r="P66" s="436">
        <f>SUM(P69,P72,P75,P78,P81,P84,P87,P91,P94)</f>
        <v>126000</v>
      </c>
    </row>
    <row r="67" spans="1:16" ht="13.5" customHeight="1">
      <c r="A67" s="1467"/>
      <c r="B67" s="1469"/>
      <c r="C67" s="432">
        <v>801</v>
      </c>
      <c r="D67" s="433">
        <v>80146</v>
      </c>
      <c r="E67" s="418">
        <f>SUM(E70,E73,E76,E79,E82,E85,E88,E92,E95)</f>
        <v>0</v>
      </c>
      <c r="F67" s="418">
        <f>SUM(F70,F73,F76,F79,F82,F85,F88,F92,F95)</f>
        <v>31500</v>
      </c>
      <c r="G67" s="422">
        <f>SUM(G70,G73,G76,G79,G82,G85,G88,G92,G95)</f>
        <v>0</v>
      </c>
      <c r="H67" s="417">
        <f>SUM(H70,H73,H76,H79,H82,H85,H88,H92,H95)</f>
        <v>31500</v>
      </c>
      <c r="I67" s="418">
        <f>I70+I73+I76+I79+I82+I85+I88+I92+I95</f>
        <v>31500</v>
      </c>
      <c r="J67" s="417">
        <f>SUM(J70,J73,J76,J79,J82,J85,J88,J92,J95)</f>
        <v>0</v>
      </c>
      <c r="K67" s="419">
        <f>SUM(K70,K73,K76,K79,K82,K85,K88,K92,K95)</f>
        <v>0</v>
      </c>
      <c r="L67" s="979">
        <f>SUM(L70,L73,L76,L79,L82,L85,L88,L92,L95)</f>
        <v>31500</v>
      </c>
      <c r="M67" s="419">
        <f>SUM(M70,M73,M76,M79,M82,M85,M88,M92,M95)</f>
        <v>31500</v>
      </c>
      <c r="N67" s="419">
        <f>SUM(N70,N73,N76,N79,N82,N85,N88,N92,N95)</f>
        <v>0</v>
      </c>
      <c r="O67" s="418"/>
      <c r="P67" s="436">
        <f>SUM(P70,P73,P76,P79,P82,P85,P88,P92,P95)</f>
        <v>0</v>
      </c>
    </row>
    <row r="68" spans="1:16" ht="13.5" customHeight="1">
      <c r="A68" s="1406" t="s">
        <v>165</v>
      </c>
      <c r="B68" s="67" t="s">
        <v>218</v>
      </c>
      <c r="C68" s="1408" t="s">
        <v>457</v>
      </c>
      <c r="D68" s="1409"/>
      <c r="E68" s="156">
        <f>SUM(E69:E70)</f>
        <v>24000</v>
      </c>
      <c r="F68" s="162">
        <f>SUM(F69:F70)</f>
        <v>1022534</v>
      </c>
      <c r="G68" s="187">
        <f>SUM(G69:G70)</f>
        <v>250820</v>
      </c>
      <c r="H68" s="162">
        <f>SUM(I68)</f>
        <v>771714</v>
      </c>
      <c r="I68" s="162">
        <f>SUM(I69:I70)</f>
        <v>771714</v>
      </c>
      <c r="J68" s="305">
        <f>SUM(J69:J70)</f>
        <v>0</v>
      </c>
      <c r="K68" s="305">
        <f>SUM(K69:K70)</f>
        <v>0</v>
      </c>
      <c r="L68" s="982">
        <f>SUM(L69:L70)</f>
        <v>1022534</v>
      </c>
      <c r="M68" s="305">
        <f>SUM(M69:M70)</f>
        <v>1022534</v>
      </c>
      <c r="N68" s="162"/>
      <c r="O68" s="162"/>
      <c r="P68" s="306">
        <f>SUM(P69:P70)</f>
        <v>24000</v>
      </c>
    </row>
    <row r="69" spans="1:16" ht="13.5" customHeight="1">
      <c r="A69" s="1407"/>
      <c r="B69" s="1470"/>
      <c r="C69" s="182">
        <v>801</v>
      </c>
      <c r="D69" s="183">
        <v>80104</v>
      </c>
      <c r="E69" s="196">
        <v>24000</v>
      </c>
      <c r="F69" s="104">
        <f>SUM(G69:H69)</f>
        <v>1020334</v>
      </c>
      <c r="G69" s="160">
        <v>250820</v>
      </c>
      <c r="H69" s="104">
        <f>SUM(I69:K69)</f>
        <v>769514</v>
      </c>
      <c r="I69" s="24">
        <f>750000+19514</f>
        <v>769514</v>
      </c>
      <c r="J69" s="24"/>
      <c r="K69" s="24"/>
      <c r="L69" s="279">
        <f>SUM(E69+F69-P69)</f>
        <v>1020334</v>
      </c>
      <c r="M69" s="173">
        <f>1000820+19514</f>
        <v>1020334</v>
      </c>
      <c r="N69" s="24"/>
      <c r="O69" s="24"/>
      <c r="P69" s="106">
        <v>24000</v>
      </c>
    </row>
    <row r="70" spans="1:16" ht="13.5" customHeight="1">
      <c r="A70" s="1407"/>
      <c r="B70" s="1471"/>
      <c r="C70" s="182">
        <v>801</v>
      </c>
      <c r="D70" s="183">
        <v>80146</v>
      </c>
      <c r="E70" s="287">
        <v>0</v>
      </c>
      <c r="F70" s="104">
        <f>SUM(G70:H70)</f>
        <v>2200</v>
      </c>
      <c r="G70" s="160"/>
      <c r="H70" s="104">
        <f>SUM(I70:K70)</f>
        <v>2200</v>
      </c>
      <c r="I70" s="24">
        <v>2200</v>
      </c>
      <c r="J70" s="24"/>
      <c r="K70" s="24"/>
      <c r="L70" s="279">
        <f>SUM(E70+F70-P70)</f>
        <v>2200</v>
      </c>
      <c r="M70" s="173">
        <v>2200</v>
      </c>
      <c r="N70" s="24"/>
      <c r="O70" s="24"/>
      <c r="P70" s="106">
        <v>0</v>
      </c>
    </row>
    <row r="71" spans="1:16" ht="13.5" customHeight="1">
      <c r="A71" s="1406" t="s">
        <v>166</v>
      </c>
      <c r="B71" s="67" t="s">
        <v>219</v>
      </c>
      <c r="C71" s="1408" t="s">
        <v>457</v>
      </c>
      <c r="D71" s="1409"/>
      <c r="E71" s="170">
        <f>SUM(E72:E73)</f>
        <v>15000</v>
      </c>
      <c r="F71" s="162">
        <f>SUM(F72:F73)</f>
        <v>1253415</v>
      </c>
      <c r="G71" s="187">
        <f>SUM(G72:G73)</f>
        <v>323225</v>
      </c>
      <c r="H71" s="162">
        <f>SUM(I71)</f>
        <v>930190</v>
      </c>
      <c r="I71" s="162">
        <f>SUM(I72:I73)</f>
        <v>930190</v>
      </c>
      <c r="J71" s="162">
        <f>SUM(J72:J73)</f>
        <v>0</v>
      </c>
      <c r="K71" s="162">
        <f>SUM(K72:K73)</f>
        <v>0</v>
      </c>
      <c r="L71" s="188">
        <f>SUM(L72:L73)</f>
        <v>1253415</v>
      </c>
      <c r="M71" s="305">
        <f>SUM(M72:M73)</f>
        <v>1253415</v>
      </c>
      <c r="N71" s="162"/>
      <c r="O71" s="162"/>
      <c r="P71" s="306">
        <f>SUM(P72:P73)</f>
        <v>15000</v>
      </c>
    </row>
    <row r="72" spans="1:16" ht="13.5" customHeight="1">
      <c r="A72" s="1407"/>
      <c r="B72" s="1470"/>
      <c r="C72" s="182">
        <v>801</v>
      </c>
      <c r="D72" s="183">
        <v>80104</v>
      </c>
      <c r="E72" s="196">
        <v>15000</v>
      </c>
      <c r="F72" s="104">
        <f>SUM(G72:H72)</f>
        <v>1250615</v>
      </c>
      <c r="G72" s="160">
        <v>323225</v>
      </c>
      <c r="H72" s="104">
        <f>SUM(I72:K72)</f>
        <v>927390</v>
      </c>
      <c r="I72" s="24">
        <f>903000+24390</f>
        <v>927390</v>
      </c>
      <c r="J72" s="24"/>
      <c r="K72" s="24"/>
      <c r="L72" s="279">
        <f>SUM(E72+F72-P72)</f>
        <v>1250615</v>
      </c>
      <c r="M72" s="173">
        <f>1226225+24390</f>
        <v>1250615</v>
      </c>
      <c r="N72" s="24"/>
      <c r="O72" s="24"/>
      <c r="P72" s="106">
        <v>15000</v>
      </c>
    </row>
    <row r="73" spans="1:16" ht="13.5" customHeight="1">
      <c r="A73" s="1407"/>
      <c r="B73" s="1471"/>
      <c r="C73" s="182">
        <v>801</v>
      </c>
      <c r="D73" s="183">
        <v>80146</v>
      </c>
      <c r="E73" s="287">
        <v>0</v>
      </c>
      <c r="F73" s="104">
        <f>SUM(G73:H73)</f>
        <v>2800</v>
      </c>
      <c r="G73" s="160"/>
      <c r="H73" s="104">
        <f>SUM(I73:K73)</f>
        <v>2800</v>
      </c>
      <c r="I73" s="24">
        <v>2800</v>
      </c>
      <c r="J73" s="24"/>
      <c r="K73" s="24"/>
      <c r="L73" s="279">
        <f>SUM(E73+F73-P73)</f>
        <v>2800</v>
      </c>
      <c r="M73" s="173">
        <v>2800</v>
      </c>
      <c r="N73" s="24"/>
      <c r="O73" s="24"/>
      <c r="P73" s="106">
        <v>0</v>
      </c>
    </row>
    <row r="74" spans="1:16" ht="13.5" customHeight="1">
      <c r="A74" s="1406" t="s">
        <v>167</v>
      </c>
      <c r="B74" s="67" t="s">
        <v>220</v>
      </c>
      <c r="C74" s="1408" t="s">
        <v>457</v>
      </c>
      <c r="D74" s="1409"/>
      <c r="E74" s="170">
        <f>SUM(E75:E76)</f>
        <v>5000</v>
      </c>
      <c r="F74" s="162">
        <f>SUM(F75:F76)</f>
        <v>1251075</v>
      </c>
      <c r="G74" s="187">
        <f>SUM(G75:G76)</f>
        <v>360885</v>
      </c>
      <c r="H74" s="162">
        <f>SUM(I74)</f>
        <v>890190</v>
      </c>
      <c r="I74" s="162">
        <f>SUM(I75:I76)</f>
        <v>890190</v>
      </c>
      <c r="J74" s="162">
        <f>SUM(J75:J76)</f>
        <v>0</v>
      </c>
      <c r="K74" s="162">
        <f>SUM(K75:K76)</f>
        <v>0</v>
      </c>
      <c r="L74" s="188">
        <f>SUM(L75:L76)</f>
        <v>1251075</v>
      </c>
      <c r="M74" s="305">
        <f>SUM(M75:M76)</f>
        <v>1251075</v>
      </c>
      <c r="N74" s="162"/>
      <c r="O74" s="162"/>
      <c r="P74" s="306">
        <f>SUM(P75:P76)</f>
        <v>5000</v>
      </c>
    </row>
    <row r="75" spans="1:16" ht="12">
      <c r="A75" s="1407"/>
      <c r="B75" s="1470"/>
      <c r="C75" s="182">
        <v>801</v>
      </c>
      <c r="D75" s="183">
        <v>80104</v>
      </c>
      <c r="E75" s="196">
        <v>5000</v>
      </c>
      <c r="F75" s="104">
        <f>SUM(G75:H75)</f>
        <v>1248275</v>
      </c>
      <c r="G75" s="160">
        <v>360885</v>
      </c>
      <c r="H75" s="104">
        <f>SUM(I75:K75)</f>
        <v>887390</v>
      </c>
      <c r="I75" s="24">
        <f>863000+24390</f>
        <v>887390</v>
      </c>
      <c r="J75" s="24"/>
      <c r="K75" s="24"/>
      <c r="L75" s="279">
        <f>SUM(E75+F75-P75)</f>
        <v>1248275</v>
      </c>
      <c r="M75" s="173">
        <f>1223885+24390</f>
        <v>1248275</v>
      </c>
      <c r="N75" s="24"/>
      <c r="O75" s="24"/>
      <c r="P75" s="106">
        <v>5000</v>
      </c>
    </row>
    <row r="76" spans="1:16" ht="13.5" customHeight="1">
      <c r="A76" s="1407"/>
      <c r="B76" s="1471"/>
      <c r="C76" s="182">
        <v>801</v>
      </c>
      <c r="D76" s="183">
        <v>80146</v>
      </c>
      <c r="E76" s="287">
        <v>0</v>
      </c>
      <c r="F76" s="104">
        <f>SUM(G76:H76)</f>
        <v>2800</v>
      </c>
      <c r="G76" s="160"/>
      <c r="H76" s="104">
        <f>SUM(I76:K76)</f>
        <v>2800</v>
      </c>
      <c r="I76" s="24">
        <v>2800</v>
      </c>
      <c r="J76" s="24"/>
      <c r="K76" s="24"/>
      <c r="L76" s="279">
        <f>SUM(E76+F76-P76)</f>
        <v>2800</v>
      </c>
      <c r="M76" s="173">
        <v>2800</v>
      </c>
      <c r="N76" s="24"/>
      <c r="O76" s="24"/>
      <c r="P76" s="106">
        <v>0</v>
      </c>
    </row>
    <row r="77" spans="1:16" ht="13.5" customHeight="1">
      <c r="A77" s="1406" t="s">
        <v>168</v>
      </c>
      <c r="B77" s="67" t="s">
        <v>221</v>
      </c>
      <c r="C77" s="1408" t="s">
        <v>457</v>
      </c>
      <c r="D77" s="1409"/>
      <c r="E77" s="170">
        <f>SUM(E78:E79)</f>
        <v>20000</v>
      </c>
      <c r="F77" s="162">
        <f>SUM(F78:F79)</f>
        <v>1305190</v>
      </c>
      <c r="G77" s="187">
        <f>SUM(G78:G79)</f>
        <v>314500</v>
      </c>
      <c r="H77" s="162">
        <f>SUM(I77)</f>
        <v>990690</v>
      </c>
      <c r="I77" s="162">
        <f>SUM(I78:I79)</f>
        <v>990690</v>
      </c>
      <c r="J77" s="162">
        <f>SUM(J78:J79)</f>
        <v>0</v>
      </c>
      <c r="K77" s="162">
        <f>SUM(K78:K79)</f>
        <v>0</v>
      </c>
      <c r="L77" s="188">
        <f>SUM(L78:L79)</f>
        <v>1305190</v>
      </c>
      <c r="M77" s="305">
        <f>SUM(M78:M79)</f>
        <v>1305190</v>
      </c>
      <c r="N77" s="162"/>
      <c r="O77" s="162"/>
      <c r="P77" s="306">
        <f>SUM(P78:P79)</f>
        <v>20000</v>
      </c>
    </row>
    <row r="78" spans="1:16" ht="13.5" customHeight="1">
      <c r="A78" s="1407"/>
      <c r="B78" s="1470"/>
      <c r="C78" s="182">
        <v>801</v>
      </c>
      <c r="D78" s="183">
        <v>80104</v>
      </c>
      <c r="E78" s="196">
        <v>20000</v>
      </c>
      <c r="F78" s="104">
        <f>SUM(G78:H78)</f>
        <v>1301890</v>
      </c>
      <c r="G78" s="160">
        <v>314500</v>
      </c>
      <c r="H78" s="104">
        <f>SUM(I78:K78)</f>
        <v>987390</v>
      </c>
      <c r="I78" s="24">
        <f>963000+24390</f>
        <v>987390</v>
      </c>
      <c r="J78" s="24"/>
      <c r="K78" s="24"/>
      <c r="L78" s="279">
        <f>SUM(E78+F78-P78)</f>
        <v>1301890</v>
      </c>
      <c r="M78" s="173">
        <f>1277500+24390</f>
        <v>1301890</v>
      </c>
      <c r="N78" s="24"/>
      <c r="O78" s="24"/>
      <c r="P78" s="106">
        <v>20000</v>
      </c>
    </row>
    <row r="79" spans="1:16" ht="13.5" customHeight="1">
      <c r="A79" s="1407"/>
      <c r="B79" s="1471"/>
      <c r="C79" s="182">
        <v>801</v>
      </c>
      <c r="D79" s="183">
        <v>80146</v>
      </c>
      <c r="E79" s="287">
        <v>0</v>
      </c>
      <c r="F79" s="104">
        <f>SUM(G79:H79)</f>
        <v>3300</v>
      </c>
      <c r="G79" s="160"/>
      <c r="H79" s="104">
        <f>SUM(I79:K79)</f>
        <v>3300</v>
      </c>
      <c r="I79" s="24">
        <v>3300</v>
      </c>
      <c r="J79" s="24"/>
      <c r="K79" s="24"/>
      <c r="L79" s="279">
        <f>SUM(E79+F79-P79)</f>
        <v>3300</v>
      </c>
      <c r="M79" s="173">
        <v>3300</v>
      </c>
      <c r="N79" s="24"/>
      <c r="O79" s="24"/>
      <c r="P79" s="106">
        <v>0</v>
      </c>
    </row>
    <row r="80" spans="1:16" ht="13.5" customHeight="1">
      <c r="A80" s="1406" t="s">
        <v>224</v>
      </c>
      <c r="B80" s="67" t="s">
        <v>222</v>
      </c>
      <c r="C80" s="1408" t="s">
        <v>457</v>
      </c>
      <c r="D80" s="1409"/>
      <c r="E80" s="170">
        <f>SUM(E81:E82)</f>
        <v>15000</v>
      </c>
      <c r="F80" s="162">
        <f>SUM(F81:F82)</f>
        <v>1217690</v>
      </c>
      <c r="G80" s="187">
        <f>SUM(G81:G82)</f>
        <v>287500</v>
      </c>
      <c r="H80" s="162">
        <f>SUM(I80)</f>
        <v>930190</v>
      </c>
      <c r="I80" s="162">
        <f aca="true" t="shared" si="15" ref="I80:P80">SUM(I81:I82)</f>
        <v>930190</v>
      </c>
      <c r="J80" s="162">
        <f t="shared" si="15"/>
        <v>0</v>
      </c>
      <c r="K80" s="162">
        <f t="shared" si="15"/>
        <v>0</v>
      </c>
      <c r="L80" s="188">
        <f t="shared" si="15"/>
        <v>1217690</v>
      </c>
      <c r="M80" s="305">
        <f t="shared" si="15"/>
        <v>1211390</v>
      </c>
      <c r="N80" s="305">
        <f t="shared" si="15"/>
        <v>6300</v>
      </c>
      <c r="O80" s="162">
        <f t="shared" si="15"/>
        <v>0</v>
      </c>
      <c r="P80" s="306">
        <f t="shared" si="15"/>
        <v>15000</v>
      </c>
    </row>
    <row r="81" spans="1:16" ht="13.5" customHeight="1">
      <c r="A81" s="1407"/>
      <c r="B81" s="1470"/>
      <c r="C81" s="182">
        <v>801</v>
      </c>
      <c r="D81" s="183">
        <v>80104</v>
      </c>
      <c r="E81" s="196">
        <v>15000</v>
      </c>
      <c r="F81" s="104">
        <f>SUM(G81:H81)</f>
        <v>1214890</v>
      </c>
      <c r="G81" s="160">
        <v>287500</v>
      </c>
      <c r="H81" s="104">
        <f>SUM(I81:K81)</f>
        <v>927390</v>
      </c>
      <c r="I81" s="24">
        <f>903000+24390</f>
        <v>927390</v>
      </c>
      <c r="J81" s="24"/>
      <c r="K81" s="24"/>
      <c r="L81" s="279">
        <f>SUM(E81+F81-P81)</f>
        <v>1214890</v>
      </c>
      <c r="M81" s="173">
        <f>L81-N81</f>
        <v>1208590</v>
      </c>
      <c r="N81" s="24">
        <v>6300</v>
      </c>
      <c r="O81" s="24"/>
      <c r="P81" s="106">
        <v>15000</v>
      </c>
    </row>
    <row r="82" spans="1:16" ht="13.5" customHeight="1">
      <c r="A82" s="1407"/>
      <c r="B82" s="1472"/>
      <c r="C82" s="182">
        <v>801</v>
      </c>
      <c r="D82" s="183">
        <v>80146</v>
      </c>
      <c r="E82" s="287">
        <v>0</v>
      </c>
      <c r="F82" s="104">
        <f>SUM(G82:H82)</f>
        <v>2800</v>
      </c>
      <c r="G82" s="160"/>
      <c r="H82" s="104">
        <f>SUM(I82:K82)</f>
        <v>2800</v>
      </c>
      <c r="I82" s="24">
        <v>2800</v>
      </c>
      <c r="J82" s="24"/>
      <c r="K82" s="24"/>
      <c r="L82" s="279">
        <f>SUM(E82+F82-P82)</f>
        <v>2800</v>
      </c>
      <c r="M82" s="173">
        <v>2800</v>
      </c>
      <c r="N82" s="24"/>
      <c r="O82" s="24"/>
      <c r="P82" s="106">
        <v>0</v>
      </c>
    </row>
    <row r="83" spans="1:16" ht="13.5" customHeight="1">
      <c r="A83" s="1406" t="s">
        <v>225</v>
      </c>
      <c r="B83" s="67" t="s">
        <v>223</v>
      </c>
      <c r="C83" s="1408" t="s">
        <v>457</v>
      </c>
      <c r="D83" s="1409"/>
      <c r="E83" s="170">
        <f>SUM(E84:E85)</f>
        <v>15000</v>
      </c>
      <c r="F83" s="162">
        <f>SUM(F84:F85)</f>
        <v>1287918</v>
      </c>
      <c r="G83" s="187">
        <f>SUM(G84:G85)</f>
        <v>322450</v>
      </c>
      <c r="H83" s="162">
        <f>SUM(I83)</f>
        <v>965468</v>
      </c>
      <c r="I83" s="162">
        <f>SUM(I84:I85)</f>
        <v>965468</v>
      </c>
      <c r="J83" s="162">
        <f>SUM(J84:J85)</f>
        <v>0</v>
      </c>
      <c r="K83" s="162">
        <f>SUM(K84:K85)</f>
        <v>0</v>
      </c>
      <c r="L83" s="188">
        <f>SUM(L84:L85)</f>
        <v>1287918</v>
      </c>
      <c r="M83" s="305">
        <f>SUM(M84:M85)</f>
        <v>1287918</v>
      </c>
      <c r="N83" s="162"/>
      <c r="O83" s="162"/>
      <c r="P83" s="306">
        <f>SUM(P84:P85)</f>
        <v>15000</v>
      </c>
    </row>
    <row r="84" spans="1:16" ht="13.5" customHeight="1">
      <c r="A84" s="1407"/>
      <c r="B84" s="1470"/>
      <c r="C84" s="182">
        <v>801</v>
      </c>
      <c r="D84" s="183">
        <v>80104</v>
      </c>
      <c r="E84" s="196">
        <v>15000</v>
      </c>
      <c r="F84" s="104">
        <f>SUM(G84:H84)</f>
        <v>1284718</v>
      </c>
      <c r="G84" s="160">
        <v>322450</v>
      </c>
      <c r="H84" s="104">
        <f>SUM(I84:K84)</f>
        <v>962268</v>
      </c>
      <c r="I84" s="24">
        <f>933000+29268</f>
        <v>962268</v>
      </c>
      <c r="J84" s="24"/>
      <c r="K84" s="24"/>
      <c r="L84" s="279">
        <f>SUM(E84+F84-P84)</f>
        <v>1284718</v>
      </c>
      <c r="M84" s="173">
        <f>1255450+29268</f>
        <v>1284718</v>
      </c>
      <c r="N84" s="24"/>
      <c r="O84" s="24"/>
      <c r="P84" s="106">
        <v>15000</v>
      </c>
    </row>
    <row r="85" spans="1:16" ht="13.5" customHeight="1">
      <c r="A85" s="1473"/>
      <c r="B85" s="1472"/>
      <c r="C85" s="182">
        <v>801</v>
      </c>
      <c r="D85" s="183">
        <v>80146</v>
      </c>
      <c r="E85" s="287">
        <v>0</v>
      </c>
      <c r="F85" s="104">
        <f>SUM(G85:H85)</f>
        <v>3200</v>
      </c>
      <c r="G85" s="160"/>
      <c r="H85" s="104">
        <f>SUM(I85:K85)</f>
        <v>3200</v>
      </c>
      <c r="I85" s="24">
        <v>3200</v>
      </c>
      <c r="J85" s="24"/>
      <c r="K85" s="24"/>
      <c r="L85" s="279">
        <f>SUM(E85+F85-P85)</f>
        <v>3200</v>
      </c>
      <c r="M85" s="173">
        <v>3200</v>
      </c>
      <c r="N85" s="24"/>
      <c r="O85" s="24"/>
      <c r="P85" s="106">
        <v>0</v>
      </c>
    </row>
    <row r="86" spans="1:16" ht="13.5" customHeight="1">
      <c r="A86" s="1407" t="s">
        <v>226</v>
      </c>
      <c r="B86" s="68" t="s">
        <v>214</v>
      </c>
      <c r="C86" s="1475" t="s">
        <v>457</v>
      </c>
      <c r="D86" s="1476"/>
      <c r="E86" s="189">
        <f aca="true" t="shared" si="16" ref="E86:M86">SUM(E87:E88)</f>
        <v>16000</v>
      </c>
      <c r="F86" s="307">
        <f t="shared" si="16"/>
        <v>1351718</v>
      </c>
      <c r="G86" s="308">
        <f t="shared" si="16"/>
        <v>367750</v>
      </c>
      <c r="H86" s="1115">
        <f>SUM(I86:K86)</f>
        <v>983968</v>
      </c>
      <c r="I86" s="307">
        <f t="shared" si="16"/>
        <v>983968</v>
      </c>
      <c r="J86" s="307">
        <f t="shared" si="16"/>
        <v>0</v>
      </c>
      <c r="K86" s="307">
        <f t="shared" si="16"/>
        <v>0</v>
      </c>
      <c r="L86" s="190">
        <f t="shared" si="16"/>
        <v>1351718</v>
      </c>
      <c r="M86" s="725">
        <f t="shared" si="16"/>
        <v>1351718</v>
      </c>
      <c r="N86" s="307"/>
      <c r="O86" s="307"/>
      <c r="P86" s="309">
        <f>SUM(P87:P88)</f>
        <v>16000</v>
      </c>
    </row>
    <row r="87" spans="1:16" ht="13.5" customHeight="1">
      <c r="A87" s="1407"/>
      <c r="B87" s="1410"/>
      <c r="C87" s="182">
        <v>801</v>
      </c>
      <c r="D87" s="183">
        <v>80104</v>
      </c>
      <c r="E87" s="103">
        <v>16000</v>
      </c>
      <c r="F87" s="104">
        <f>SUM(G87:H87)</f>
        <v>1340018</v>
      </c>
      <c r="G87" s="160">
        <v>367750</v>
      </c>
      <c r="H87" s="104">
        <f>SUM(I87:K87)</f>
        <v>972268</v>
      </c>
      <c r="I87" s="24">
        <f>943000+29268</f>
        <v>972268</v>
      </c>
      <c r="J87" s="24">
        <v>0</v>
      </c>
      <c r="K87" s="24"/>
      <c r="L87" s="279">
        <f>SUM(E87+F87-P87)</f>
        <v>1340018</v>
      </c>
      <c r="M87" s="173">
        <f>1310750+29268</f>
        <v>1340018</v>
      </c>
      <c r="N87" s="24"/>
      <c r="O87" s="24"/>
      <c r="P87" s="106">
        <v>16000</v>
      </c>
    </row>
    <row r="88" spans="1:16" ht="12.75" thickBot="1">
      <c r="A88" s="1474"/>
      <c r="B88" s="1477"/>
      <c r="C88" s="184">
        <v>801</v>
      </c>
      <c r="D88" s="185">
        <v>80146</v>
      </c>
      <c r="E88" s="290">
        <v>0</v>
      </c>
      <c r="F88" s="110">
        <f>SUM(G88:H88)</f>
        <v>11700</v>
      </c>
      <c r="G88" s="273"/>
      <c r="H88" s="104">
        <f>SUM(I88:K88)</f>
        <v>11700</v>
      </c>
      <c r="I88" s="25">
        <v>11700</v>
      </c>
      <c r="J88" s="25"/>
      <c r="K88" s="25"/>
      <c r="L88" s="285">
        <f>SUM(E88+F88-P88)</f>
        <v>11700</v>
      </c>
      <c r="M88" s="726">
        <v>11700</v>
      </c>
      <c r="N88" s="25"/>
      <c r="O88" s="25"/>
      <c r="P88" s="199">
        <v>0</v>
      </c>
    </row>
    <row r="89" spans="1:16" ht="12.75" thickBot="1">
      <c r="A89" s="548">
        <v>1</v>
      </c>
      <c r="B89" s="549">
        <v>2</v>
      </c>
      <c r="C89" s="548">
        <v>3</v>
      </c>
      <c r="D89" s="550">
        <v>4</v>
      </c>
      <c r="E89" s="551">
        <v>5</v>
      </c>
      <c r="F89" s="552">
        <v>6</v>
      </c>
      <c r="G89" s="553">
        <v>7</v>
      </c>
      <c r="H89" s="552">
        <v>8</v>
      </c>
      <c r="I89" s="552">
        <v>9</v>
      </c>
      <c r="J89" s="552">
        <v>10</v>
      </c>
      <c r="K89" s="552">
        <v>11</v>
      </c>
      <c r="L89" s="554">
        <v>12</v>
      </c>
      <c r="M89" s="549">
        <v>13</v>
      </c>
      <c r="N89" s="552">
        <v>14</v>
      </c>
      <c r="O89" s="552">
        <v>15</v>
      </c>
      <c r="P89" s="555">
        <v>16</v>
      </c>
    </row>
    <row r="90" spans="1:16" ht="12">
      <c r="A90" s="1406" t="s">
        <v>227</v>
      </c>
      <c r="B90" s="67" t="s">
        <v>216</v>
      </c>
      <c r="C90" s="1408" t="s">
        <v>457</v>
      </c>
      <c r="D90" s="1409"/>
      <c r="E90" s="186">
        <f aca="true" t="shared" si="17" ref="E90:P90">SUM(E91:E92)</f>
        <v>10000</v>
      </c>
      <c r="F90" s="162">
        <f t="shared" si="17"/>
        <v>637286</v>
      </c>
      <c r="G90" s="187">
        <f t="shared" si="17"/>
        <v>136430</v>
      </c>
      <c r="H90" s="162">
        <f t="shared" si="17"/>
        <v>500856</v>
      </c>
      <c r="I90" s="162">
        <f t="shared" si="17"/>
        <v>500856</v>
      </c>
      <c r="J90" s="162">
        <f t="shared" si="17"/>
        <v>0</v>
      </c>
      <c r="K90" s="162">
        <f t="shared" si="17"/>
        <v>0</v>
      </c>
      <c r="L90" s="188">
        <f t="shared" si="17"/>
        <v>637286</v>
      </c>
      <c r="M90" s="305">
        <f t="shared" si="17"/>
        <v>637286</v>
      </c>
      <c r="N90" s="162"/>
      <c r="O90" s="162"/>
      <c r="P90" s="306">
        <f t="shared" si="17"/>
        <v>10000</v>
      </c>
    </row>
    <row r="91" spans="1:16" ht="12">
      <c r="A91" s="1407"/>
      <c r="B91" s="1410"/>
      <c r="C91" s="182">
        <v>801</v>
      </c>
      <c r="D91" s="183">
        <v>80104</v>
      </c>
      <c r="E91" s="103">
        <v>10000</v>
      </c>
      <c r="F91" s="104">
        <f>SUM(G91:H91)</f>
        <v>636186</v>
      </c>
      <c r="G91" s="160">
        <v>136430</v>
      </c>
      <c r="H91" s="24">
        <f>SUM(I91:K91)</f>
        <v>499756</v>
      </c>
      <c r="I91" s="24">
        <f>490000+9756</f>
        <v>499756</v>
      </c>
      <c r="J91" s="24"/>
      <c r="K91" s="24"/>
      <c r="L91" s="279">
        <f>SUM(E91+F91-P91)</f>
        <v>636186</v>
      </c>
      <c r="M91" s="173">
        <f>626430+9756</f>
        <v>636186</v>
      </c>
      <c r="N91" s="24"/>
      <c r="O91" s="24"/>
      <c r="P91" s="106">
        <v>10000</v>
      </c>
    </row>
    <row r="92" spans="1:16" ht="12">
      <c r="A92" s="1407"/>
      <c r="B92" s="1411"/>
      <c r="C92" s="182">
        <v>801</v>
      </c>
      <c r="D92" s="183">
        <v>80146</v>
      </c>
      <c r="E92" s="287">
        <v>0</v>
      </c>
      <c r="F92" s="104">
        <f>SUM(G92:H92)</f>
        <v>1100</v>
      </c>
      <c r="G92" s="160"/>
      <c r="H92" s="24">
        <f>SUM(I92:K92)</f>
        <v>1100</v>
      </c>
      <c r="I92" s="24">
        <v>1100</v>
      </c>
      <c r="J92" s="24"/>
      <c r="K92" s="24"/>
      <c r="L92" s="279">
        <f>SUM(E92+F92-P92)</f>
        <v>1100</v>
      </c>
      <c r="M92" s="173">
        <v>1100</v>
      </c>
      <c r="N92" s="24"/>
      <c r="O92" s="24"/>
      <c r="P92" s="106">
        <v>0</v>
      </c>
    </row>
    <row r="93" spans="1:16" ht="12">
      <c r="A93" s="1406" t="s">
        <v>228</v>
      </c>
      <c r="B93" s="67" t="s">
        <v>217</v>
      </c>
      <c r="C93" s="1408" t="s">
        <v>457</v>
      </c>
      <c r="D93" s="1409"/>
      <c r="E93" s="189">
        <f aca="true" t="shared" si="18" ref="E93:P93">SUM(E94:E95)</f>
        <v>6000</v>
      </c>
      <c r="F93" s="162">
        <f t="shared" si="18"/>
        <v>750774</v>
      </c>
      <c r="G93" s="187">
        <f t="shared" si="18"/>
        <v>154540</v>
      </c>
      <c r="H93" s="162">
        <f t="shared" si="18"/>
        <v>596234</v>
      </c>
      <c r="I93" s="162">
        <f t="shared" si="18"/>
        <v>596234</v>
      </c>
      <c r="J93" s="162">
        <f t="shared" si="18"/>
        <v>0</v>
      </c>
      <c r="K93" s="162">
        <f t="shared" si="18"/>
        <v>0</v>
      </c>
      <c r="L93" s="188">
        <f t="shared" si="18"/>
        <v>750774</v>
      </c>
      <c r="M93" s="305">
        <f t="shared" si="18"/>
        <v>750774</v>
      </c>
      <c r="N93" s="162"/>
      <c r="O93" s="162"/>
      <c r="P93" s="306">
        <f t="shared" si="18"/>
        <v>6000</v>
      </c>
    </row>
    <row r="94" spans="1:16" ht="12">
      <c r="A94" s="1407"/>
      <c r="B94" s="1470"/>
      <c r="C94" s="182">
        <v>801</v>
      </c>
      <c r="D94" s="183">
        <v>80104</v>
      </c>
      <c r="E94" s="103">
        <v>6000</v>
      </c>
      <c r="F94" s="104">
        <f>SUM(G94:H94)</f>
        <v>749174</v>
      </c>
      <c r="G94" s="160">
        <v>154540</v>
      </c>
      <c r="H94" s="24">
        <f>SUM(I94:K94)</f>
        <v>594634</v>
      </c>
      <c r="I94" s="24">
        <f>580000+14634</f>
        <v>594634</v>
      </c>
      <c r="J94" s="24"/>
      <c r="K94" s="173"/>
      <c r="L94" s="279">
        <f>SUM(E94+F94-P94)</f>
        <v>749174</v>
      </c>
      <c r="M94" s="173">
        <f>734540+14634</f>
        <v>749174</v>
      </c>
      <c r="N94" s="24"/>
      <c r="O94" s="24"/>
      <c r="P94" s="106">
        <v>6000</v>
      </c>
    </row>
    <row r="95" spans="1:16" ht="12.75" thickBot="1">
      <c r="A95" s="1407"/>
      <c r="B95" s="1471"/>
      <c r="C95" s="182">
        <v>801</v>
      </c>
      <c r="D95" s="185">
        <v>80146</v>
      </c>
      <c r="E95" s="290">
        <v>0</v>
      </c>
      <c r="F95" s="110">
        <f>SUM(G95:H95)</f>
        <v>1600</v>
      </c>
      <c r="G95" s="273"/>
      <c r="H95" s="25">
        <f>SUM(I95:K95)</f>
        <v>1600</v>
      </c>
      <c r="I95" s="25">
        <v>1600</v>
      </c>
      <c r="J95" s="25"/>
      <c r="K95" s="726"/>
      <c r="L95" s="285">
        <f>SUM(E95+F95-P95)</f>
        <v>1600</v>
      </c>
      <c r="M95" s="726">
        <v>1600</v>
      </c>
      <c r="N95" s="25"/>
      <c r="O95" s="25"/>
      <c r="P95" s="199">
        <v>0</v>
      </c>
    </row>
    <row r="96" spans="1:16" s="114" customFormat="1" ht="13.5" customHeight="1">
      <c r="A96" s="1478"/>
      <c r="B96" s="437" t="s">
        <v>235</v>
      </c>
      <c r="C96" s="438"/>
      <c r="D96" s="433"/>
      <c r="E96" s="416">
        <f aca="true" t="shared" si="19" ref="E96:P96">E97+E98+E100+E99</f>
        <v>135000</v>
      </c>
      <c r="F96" s="416">
        <f t="shared" si="19"/>
        <v>9809057</v>
      </c>
      <c r="G96" s="416">
        <f t="shared" si="19"/>
        <v>382563</v>
      </c>
      <c r="H96" s="416">
        <f t="shared" si="19"/>
        <v>9426494</v>
      </c>
      <c r="I96" s="416">
        <f t="shared" si="19"/>
        <v>9426494</v>
      </c>
      <c r="J96" s="416">
        <f t="shared" si="19"/>
        <v>0</v>
      </c>
      <c r="K96" s="416">
        <f t="shared" si="19"/>
        <v>0</v>
      </c>
      <c r="L96" s="429">
        <f t="shared" si="19"/>
        <v>9809057</v>
      </c>
      <c r="M96" s="429">
        <f t="shared" si="19"/>
        <v>9809057</v>
      </c>
      <c r="N96" s="429">
        <f t="shared" si="19"/>
        <v>0</v>
      </c>
      <c r="O96" s="429">
        <f t="shared" si="19"/>
        <v>0</v>
      </c>
      <c r="P96" s="1324">
        <f t="shared" si="19"/>
        <v>135000</v>
      </c>
    </row>
    <row r="97" spans="1:16" s="114" customFormat="1" ht="13.5" customHeight="1">
      <c r="A97" s="1479"/>
      <c r="B97" s="1480"/>
      <c r="C97" s="432">
        <v>801</v>
      </c>
      <c r="D97" s="433">
        <v>80110</v>
      </c>
      <c r="E97" s="416">
        <f aca="true" t="shared" si="20" ref="E97:N98">SUM(E102,E107,E111,E115,E119)</f>
        <v>135000</v>
      </c>
      <c r="F97" s="416">
        <f t="shared" si="20"/>
        <v>9098963</v>
      </c>
      <c r="G97" s="422">
        <f t="shared" si="20"/>
        <v>382563</v>
      </c>
      <c r="H97" s="418">
        <f t="shared" si="20"/>
        <v>8716400</v>
      </c>
      <c r="I97" s="418">
        <f t="shared" si="20"/>
        <v>8716400</v>
      </c>
      <c r="J97" s="418">
        <f t="shared" si="20"/>
        <v>0</v>
      </c>
      <c r="K97" s="419">
        <f t="shared" si="20"/>
        <v>0</v>
      </c>
      <c r="L97" s="979">
        <f t="shared" si="20"/>
        <v>9098963</v>
      </c>
      <c r="M97" s="419">
        <f t="shared" si="20"/>
        <v>9098963</v>
      </c>
      <c r="N97" s="419">
        <f t="shared" si="20"/>
        <v>0</v>
      </c>
      <c r="O97" s="418"/>
      <c r="P97" s="436">
        <f>SUM(P102,P107,P111,P115,P119)</f>
        <v>135000</v>
      </c>
    </row>
    <row r="98" spans="1:16" s="114" customFormat="1" ht="13.5" customHeight="1">
      <c r="A98" s="1479"/>
      <c r="B98" s="1481"/>
      <c r="C98" s="432">
        <v>801</v>
      </c>
      <c r="D98" s="433">
        <v>80146</v>
      </c>
      <c r="E98" s="416">
        <f t="shared" si="20"/>
        <v>0</v>
      </c>
      <c r="F98" s="416">
        <f t="shared" si="20"/>
        <v>56200</v>
      </c>
      <c r="G98" s="422">
        <f t="shared" si="20"/>
        <v>0</v>
      </c>
      <c r="H98" s="418">
        <f t="shared" si="20"/>
        <v>56200</v>
      </c>
      <c r="I98" s="418">
        <f t="shared" si="20"/>
        <v>56200</v>
      </c>
      <c r="J98" s="418">
        <f t="shared" si="20"/>
        <v>0</v>
      </c>
      <c r="K98" s="419">
        <f t="shared" si="20"/>
        <v>0</v>
      </c>
      <c r="L98" s="979">
        <f t="shared" si="20"/>
        <v>56200</v>
      </c>
      <c r="M98" s="419">
        <f t="shared" si="20"/>
        <v>56200</v>
      </c>
      <c r="N98" s="419">
        <f t="shared" si="20"/>
        <v>0</v>
      </c>
      <c r="O98" s="418"/>
      <c r="P98" s="436">
        <f>SUM(P103,P108,P112,P116,P120)</f>
        <v>0</v>
      </c>
    </row>
    <row r="99" spans="1:16" s="114" customFormat="1" ht="13.5" customHeight="1">
      <c r="A99" s="439"/>
      <c r="B99" s="440"/>
      <c r="C99" s="432">
        <v>853</v>
      </c>
      <c r="D99" s="433">
        <v>85395</v>
      </c>
      <c r="E99" s="416">
        <f>SUM(E104,E109,E113,E117,E121)</f>
        <v>0</v>
      </c>
      <c r="F99" s="416">
        <f aca="true" t="shared" si="21" ref="F99:P99">F104</f>
        <v>620144</v>
      </c>
      <c r="G99" s="416">
        <f t="shared" si="21"/>
        <v>0</v>
      </c>
      <c r="H99" s="416">
        <f t="shared" si="21"/>
        <v>620144</v>
      </c>
      <c r="I99" s="416">
        <f t="shared" si="21"/>
        <v>620144</v>
      </c>
      <c r="J99" s="416">
        <f t="shared" si="21"/>
        <v>0</v>
      </c>
      <c r="K99" s="416">
        <f t="shared" si="21"/>
        <v>0</v>
      </c>
      <c r="L99" s="979">
        <f t="shared" si="21"/>
        <v>620144</v>
      </c>
      <c r="M99" s="979">
        <f t="shared" si="21"/>
        <v>620144</v>
      </c>
      <c r="N99" s="979">
        <f t="shared" si="21"/>
        <v>0</v>
      </c>
      <c r="O99" s="979">
        <f t="shared" si="21"/>
        <v>0</v>
      </c>
      <c r="P99" s="1325">
        <f t="shared" si="21"/>
        <v>0</v>
      </c>
    </row>
    <row r="100" spans="1:16" s="114" customFormat="1" ht="13.5" customHeight="1">
      <c r="A100" s="439"/>
      <c r="B100" s="440"/>
      <c r="C100" s="432">
        <v>854</v>
      </c>
      <c r="D100" s="433">
        <v>85415</v>
      </c>
      <c r="E100" s="416">
        <f aca="true" t="shared" si="22" ref="E100:N100">SUM(E105,E109,E113,E117,E121)</f>
        <v>0</v>
      </c>
      <c r="F100" s="416">
        <f t="shared" si="22"/>
        <v>33750</v>
      </c>
      <c r="G100" s="422">
        <f t="shared" si="22"/>
        <v>0</v>
      </c>
      <c r="H100" s="418">
        <f t="shared" si="22"/>
        <v>33750</v>
      </c>
      <c r="I100" s="418">
        <f t="shared" si="22"/>
        <v>33750</v>
      </c>
      <c r="J100" s="422">
        <f t="shared" si="22"/>
        <v>0</v>
      </c>
      <c r="K100" s="419">
        <f t="shared" si="22"/>
        <v>0</v>
      </c>
      <c r="L100" s="979">
        <f t="shared" si="22"/>
        <v>33750</v>
      </c>
      <c r="M100" s="419">
        <f t="shared" si="22"/>
        <v>33750</v>
      </c>
      <c r="N100" s="419">
        <f t="shared" si="22"/>
        <v>0</v>
      </c>
      <c r="O100" s="418"/>
      <c r="P100" s="436">
        <f>SUM(P105,P109,P113,P117,P121)</f>
        <v>0</v>
      </c>
    </row>
    <row r="101" spans="1:16" ht="13.5" customHeight="1">
      <c r="A101" s="1406" t="s">
        <v>229</v>
      </c>
      <c r="B101" s="67" t="s">
        <v>210</v>
      </c>
      <c r="C101" s="1408" t="s">
        <v>457</v>
      </c>
      <c r="D101" s="1409"/>
      <c r="E101" s="189">
        <f aca="true" t="shared" si="23" ref="E101:P101">SUM(E102:E105)</f>
        <v>56000</v>
      </c>
      <c r="F101" s="162">
        <f t="shared" si="23"/>
        <v>3498874</v>
      </c>
      <c r="G101" s="189">
        <f t="shared" si="23"/>
        <v>118330</v>
      </c>
      <c r="H101" s="162">
        <f t="shared" si="23"/>
        <v>3380544</v>
      </c>
      <c r="I101" s="162">
        <f t="shared" si="23"/>
        <v>3380544</v>
      </c>
      <c r="J101" s="187">
        <f t="shared" si="23"/>
        <v>0</v>
      </c>
      <c r="K101" s="189">
        <f t="shared" si="23"/>
        <v>0</v>
      </c>
      <c r="L101" s="190">
        <f t="shared" si="23"/>
        <v>3498874</v>
      </c>
      <c r="M101" s="305">
        <f t="shared" si="23"/>
        <v>3498874</v>
      </c>
      <c r="N101" s="307"/>
      <c r="O101" s="307"/>
      <c r="P101" s="179">
        <f t="shared" si="23"/>
        <v>56000</v>
      </c>
    </row>
    <row r="102" spans="1:16" ht="13.5" customHeight="1">
      <c r="A102" s="1407"/>
      <c r="B102" s="1410"/>
      <c r="C102" s="182">
        <v>801</v>
      </c>
      <c r="D102" s="183">
        <v>80110</v>
      </c>
      <c r="E102" s="103">
        <v>56000</v>
      </c>
      <c r="F102" s="104">
        <f>SUM(G102:H102)</f>
        <v>2841330</v>
      </c>
      <c r="G102" s="157">
        <v>118330</v>
      </c>
      <c r="H102" s="24">
        <f>SUM(I102:K102)</f>
        <v>2723000</v>
      </c>
      <c r="I102" s="24">
        <f>2763000-40000</f>
        <v>2723000</v>
      </c>
      <c r="J102" s="160"/>
      <c r="K102" s="157"/>
      <c r="L102" s="279">
        <f>SUM(E102+F102-P102)</f>
        <v>2841330</v>
      </c>
      <c r="M102" s="173">
        <f>L102</f>
        <v>2841330</v>
      </c>
      <c r="N102" s="24"/>
      <c r="O102" s="24"/>
      <c r="P102" s="106">
        <v>56000</v>
      </c>
    </row>
    <row r="103" spans="1:16" ht="13.5" customHeight="1">
      <c r="A103" s="1407"/>
      <c r="B103" s="1411"/>
      <c r="C103" s="182">
        <v>801</v>
      </c>
      <c r="D103" s="183">
        <v>80146</v>
      </c>
      <c r="E103" s="274">
        <v>0</v>
      </c>
      <c r="F103" s="104">
        <f>SUM(G103:H103)</f>
        <v>27800</v>
      </c>
      <c r="G103" s="280"/>
      <c r="H103" s="24">
        <f>SUM(I103:K103)</f>
        <v>27800</v>
      </c>
      <c r="I103" s="24">
        <v>27800</v>
      </c>
      <c r="J103" s="160"/>
      <c r="K103" s="157"/>
      <c r="L103" s="279">
        <f>SUM(E103+F103-P103)</f>
        <v>27800</v>
      </c>
      <c r="M103" s="173">
        <f>L103</f>
        <v>27800</v>
      </c>
      <c r="N103" s="24"/>
      <c r="O103" s="24"/>
      <c r="P103" s="106">
        <v>0</v>
      </c>
    </row>
    <row r="104" spans="1:16" ht="13.5" customHeight="1">
      <c r="A104" s="113"/>
      <c r="B104" s="1411"/>
      <c r="C104" s="182">
        <v>853</v>
      </c>
      <c r="D104" s="183">
        <v>85395</v>
      </c>
      <c r="E104" s="275">
        <v>0</v>
      </c>
      <c r="F104" s="104">
        <f>SUM(G104:H104)</f>
        <v>620144</v>
      </c>
      <c r="G104" s="281">
        <v>0</v>
      </c>
      <c r="H104" s="24">
        <v>620144</v>
      </c>
      <c r="I104" s="24">
        <v>620144</v>
      </c>
      <c r="J104" s="160"/>
      <c r="K104" s="157"/>
      <c r="L104" s="279">
        <f>SUM(E104+F104-P104)</f>
        <v>620144</v>
      </c>
      <c r="M104" s="173">
        <v>620144</v>
      </c>
      <c r="N104" s="24"/>
      <c r="O104" s="24"/>
      <c r="P104" s="106">
        <v>0</v>
      </c>
    </row>
    <row r="105" spans="1:16" ht="13.5" customHeight="1">
      <c r="A105" s="113"/>
      <c r="B105" s="1412"/>
      <c r="C105" s="182">
        <v>854</v>
      </c>
      <c r="D105" s="183">
        <v>85415</v>
      </c>
      <c r="E105" s="275">
        <v>0</v>
      </c>
      <c r="F105" s="104">
        <f>SUM(G105:H105)</f>
        <v>9600</v>
      </c>
      <c r="G105" s="281"/>
      <c r="H105" s="24">
        <f>SUM(I105:K105)</f>
        <v>9600</v>
      </c>
      <c r="I105" s="24">
        <v>9600</v>
      </c>
      <c r="J105" s="160"/>
      <c r="K105" s="157"/>
      <c r="L105" s="279">
        <f>SUM(E105+F105-P105)</f>
        <v>9600</v>
      </c>
      <c r="M105" s="173">
        <f>L105</f>
        <v>9600</v>
      </c>
      <c r="N105" s="24"/>
      <c r="O105" s="24"/>
      <c r="P105" s="106">
        <v>0</v>
      </c>
    </row>
    <row r="106" spans="1:16" ht="13.5" customHeight="1">
      <c r="A106" s="1406" t="s">
        <v>230</v>
      </c>
      <c r="B106" s="746" t="s">
        <v>266</v>
      </c>
      <c r="C106" s="1408" t="s">
        <v>457</v>
      </c>
      <c r="D106" s="1409"/>
      <c r="E106" s="186">
        <f aca="true" t="shared" si="24" ref="E106:P106">SUM(E107:E109)</f>
        <v>34000</v>
      </c>
      <c r="F106" s="162">
        <f t="shared" si="24"/>
        <v>2711887</v>
      </c>
      <c r="G106" s="186">
        <f t="shared" si="24"/>
        <v>57037</v>
      </c>
      <c r="H106" s="162">
        <f t="shared" si="24"/>
        <v>2654850</v>
      </c>
      <c r="I106" s="162">
        <f t="shared" si="24"/>
        <v>2654850</v>
      </c>
      <c r="J106" s="187">
        <f t="shared" si="24"/>
        <v>0</v>
      </c>
      <c r="K106" s="186">
        <f t="shared" si="24"/>
        <v>0</v>
      </c>
      <c r="L106" s="188">
        <f t="shared" si="24"/>
        <v>2711887</v>
      </c>
      <c r="M106" s="305">
        <f t="shared" si="24"/>
        <v>2711887</v>
      </c>
      <c r="N106" s="305">
        <f t="shared" si="24"/>
        <v>0</v>
      </c>
      <c r="O106" s="162"/>
      <c r="P106" s="181">
        <f t="shared" si="24"/>
        <v>34000</v>
      </c>
    </row>
    <row r="107" spans="1:16" ht="13.5" customHeight="1">
      <c r="A107" s="1407"/>
      <c r="B107" s="747" t="s">
        <v>267</v>
      </c>
      <c r="C107" s="182">
        <v>801</v>
      </c>
      <c r="D107" s="183">
        <v>80110</v>
      </c>
      <c r="E107" s="103">
        <v>34000</v>
      </c>
      <c r="F107" s="104">
        <f>SUM(G107:H107)</f>
        <v>2685037</v>
      </c>
      <c r="G107" s="157">
        <v>57037</v>
      </c>
      <c r="H107" s="24">
        <f>SUM(I107:K107)</f>
        <v>2628000</v>
      </c>
      <c r="I107" s="24">
        <f>2658000-30000</f>
        <v>2628000</v>
      </c>
      <c r="J107" s="160"/>
      <c r="K107" s="157"/>
      <c r="L107" s="279">
        <f>SUM(E107+F107-P107)</f>
        <v>2685037</v>
      </c>
      <c r="M107" s="173">
        <f>2715037-30000</f>
        <v>2685037</v>
      </c>
      <c r="N107" s="24"/>
      <c r="O107" s="24"/>
      <c r="P107" s="106">
        <v>34000</v>
      </c>
    </row>
    <row r="108" spans="1:16" ht="13.5" customHeight="1">
      <c r="A108" s="1407"/>
      <c r="B108" s="748"/>
      <c r="C108" s="182">
        <v>801</v>
      </c>
      <c r="D108" s="183">
        <v>80146</v>
      </c>
      <c r="E108" s="274">
        <v>0</v>
      </c>
      <c r="F108" s="104">
        <f>SUM(G108:H108)</f>
        <v>17400</v>
      </c>
      <c r="G108" s="280"/>
      <c r="H108" s="24">
        <f>SUM(I108:K108)</f>
        <v>17400</v>
      </c>
      <c r="I108" s="24">
        <v>17400</v>
      </c>
      <c r="J108" s="160"/>
      <c r="K108" s="157"/>
      <c r="L108" s="279">
        <f>SUM(E108+F108-P108)</f>
        <v>17400</v>
      </c>
      <c r="M108" s="173">
        <v>17400</v>
      </c>
      <c r="N108" s="24"/>
      <c r="O108" s="24"/>
      <c r="P108" s="106">
        <v>0</v>
      </c>
    </row>
    <row r="109" spans="1:16" ht="13.5" customHeight="1">
      <c r="A109" s="113"/>
      <c r="B109" s="749"/>
      <c r="C109" s="182">
        <v>854</v>
      </c>
      <c r="D109" s="183">
        <v>85415</v>
      </c>
      <c r="E109" s="275">
        <v>0</v>
      </c>
      <c r="F109" s="104">
        <f>SUM(G109:H109)</f>
        <v>9450</v>
      </c>
      <c r="G109" s="281"/>
      <c r="H109" s="24">
        <f>SUM(I109:K109)</f>
        <v>9450</v>
      </c>
      <c r="I109" s="24">
        <v>9450</v>
      </c>
      <c r="J109" s="160"/>
      <c r="K109" s="157"/>
      <c r="L109" s="279">
        <f>SUM(E109+F109-P109)</f>
        <v>9450</v>
      </c>
      <c r="M109" s="173">
        <v>9450</v>
      </c>
      <c r="N109" s="24"/>
      <c r="O109" s="24"/>
      <c r="P109" s="106">
        <v>0</v>
      </c>
    </row>
    <row r="110" spans="1:16" ht="13.5" customHeight="1">
      <c r="A110" s="1406" t="s">
        <v>231</v>
      </c>
      <c r="B110" s="67" t="s">
        <v>211</v>
      </c>
      <c r="C110" s="1408" t="s">
        <v>457</v>
      </c>
      <c r="D110" s="1409"/>
      <c r="E110" s="186">
        <f aca="true" t="shared" si="25" ref="E110:P110">SUM(E111:E113)</f>
        <v>34000</v>
      </c>
      <c r="F110" s="162">
        <f t="shared" si="25"/>
        <v>2301400</v>
      </c>
      <c r="G110" s="186">
        <f t="shared" si="25"/>
        <v>73300</v>
      </c>
      <c r="H110" s="162">
        <f t="shared" si="25"/>
        <v>2228100</v>
      </c>
      <c r="I110" s="162">
        <f t="shared" si="25"/>
        <v>2228100</v>
      </c>
      <c r="J110" s="187">
        <f t="shared" si="25"/>
        <v>0</v>
      </c>
      <c r="K110" s="186">
        <f t="shared" si="25"/>
        <v>0</v>
      </c>
      <c r="L110" s="188">
        <f t="shared" si="25"/>
        <v>2301400</v>
      </c>
      <c r="M110" s="305">
        <f t="shared" si="25"/>
        <v>2301400</v>
      </c>
      <c r="N110" s="162"/>
      <c r="O110" s="162"/>
      <c r="P110" s="181">
        <f t="shared" si="25"/>
        <v>34000</v>
      </c>
    </row>
    <row r="111" spans="1:16" ht="13.5" customHeight="1">
      <c r="A111" s="1407"/>
      <c r="B111" s="1410"/>
      <c r="C111" s="182">
        <v>801</v>
      </c>
      <c r="D111" s="183">
        <v>80110</v>
      </c>
      <c r="E111" s="103">
        <v>34000</v>
      </c>
      <c r="F111" s="104">
        <f>SUM(G111:H111)</f>
        <v>2288700</v>
      </c>
      <c r="G111" s="157">
        <v>73300</v>
      </c>
      <c r="H111" s="24">
        <f>SUM(I111:K111)</f>
        <v>2215400</v>
      </c>
      <c r="I111" s="24">
        <f>2227000+8400-20000</f>
        <v>2215400</v>
      </c>
      <c r="J111" s="160"/>
      <c r="K111" s="157"/>
      <c r="L111" s="279">
        <f>SUM(E111+F111-P111)</f>
        <v>2288700</v>
      </c>
      <c r="M111" s="173">
        <f>2308700-20000</f>
        <v>2288700</v>
      </c>
      <c r="N111" s="24"/>
      <c r="O111" s="24"/>
      <c r="P111" s="106">
        <v>34000</v>
      </c>
    </row>
    <row r="112" spans="1:16" ht="13.5" customHeight="1">
      <c r="A112" s="1407"/>
      <c r="B112" s="1411"/>
      <c r="C112" s="182">
        <v>801</v>
      </c>
      <c r="D112" s="183">
        <v>80146</v>
      </c>
      <c r="E112" s="274">
        <v>0</v>
      </c>
      <c r="F112" s="104">
        <f>SUM(G112:H112)</f>
        <v>6600</v>
      </c>
      <c r="G112" s="280"/>
      <c r="H112" s="24">
        <f>SUM(I112:K112)</f>
        <v>6600</v>
      </c>
      <c r="I112" s="24">
        <v>6600</v>
      </c>
      <c r="J112" s="160"/>
      <c r="K112" s="157"/>
      <c r="L112" s="279">
        <f>SUM(E112+F112-P112)</f>
        <v>6600</v>
      </c>
      <c r="M112" s="173">
        <v>6600</v>
      </c>
      <c r="N112" s="24"/>
      <c r="O112" s="24"/>
      <c r="P112" s="106">
        <v>0</v>
      </c>
    </row>
    <row r="113" spans="1:16" ht="13.5" customHeight="1">
      <c r="A113" s="113"/>
      <c r="B113" s="1412"/>
      <c r="C113" s="182">
        <v>854</v>
      </c>
      <c r="D113" s="183">
        <v>85415</v>
      </c>
      <c r="E113" s="275">
        <v>0</v>
      </c>
      <c r="F113" s="104">
        <f>SUM(G113:H113)</f>
        <v>6100</v>
      </c>
      <c r="G113" s="281"/>
      <c r="H113" s="24">
        <f>SUM(I113:K113)</f>
        <v>6100</v>
      </c>
      <c r="I113" s="24">
        <v>6100</v>
      </c>
      <c r="J113" s="160"/>
      <c r="K113" s="157"/>
      <c r="L113" s="279">
        <f>SUM(E113+F113-P113)</f>
        <v>6100</v>
      </c>
      <c r="M113" s="173">
        <v>6100</v>
      </c>
      <c r="N113" s="24"/>
      <c r="O113" s="24"/>
      <c r="P113" s="106">
        <v>0</v>
      </c>
    </row>
    <row r="114" spans="1:16" ht="13.5" customHeight="1">
      <c r="A114" s="1406" t="s">
        <v>232</v>
      </c>
      <c r="B114" s="746" t="s">
        <v>262</v>
      </c>
      <c r="C114" s="1408" t="s">
        <v>457</v>
      </c>
      <c r="D114" s="1409"/>
      <c r="E114" s="186">
        <f aca="true" t="shared" si="26" ref="E114:P114">SUM(E115:E117)</f>
        <v>1000</v>
      </c>
      <c r="F114" s="162">
        <f t="shared" si="26"/>
        <v>454950</v>
      </c>
      <c r="G114" s="186">
        <f t="shared" si="26"/>
        <v>0</v>
      </c>
      <c r="H114" s="162">
        <f t="shared" si="26"/>
        <v>454950</v>
      </c>
      <c r="I114" s="162">
        <f t="shared" si="26"/>
        <v>454950</v>
      </c>
      <c r="J114" s="187">
        <f t="shared" si="26"/>
        <v>0</v>
      </c>
      <c r="K114" s="186">
        <f t="shared" si="26"/>
        <v>0</v>
      </c>
      <c r="L114" s="188">
        <f t="shared" si="26"/>
        <v>454950</v>
      </c>
      <c r="M114" s="305">
        <f t="shared" si="26"/>
        <v>454950</v>
      </c>
      <c r="N114" s="162"/>
      <c r="O114" s="162"/>
      <c r="P114" s="181">
        <f t="shared" si="26"/>
        <v>1000</v>
      </c>
    </row>
    <row r="115" spans="1:16" ht="13.5" customHeight="1">
      <c r="A115" s="1407"/>
      <c r="B115" s="750" t="s">
        <v>268</v>
      </c>
      <c r="C115" s="182">
        <v>801</v>
      </c>
      <c r="D115" s="183">
        <v>80110</v>
      </c>
      <c r="E115" s="103">
        <v>1000</v>
      </c>
      <c r="F115" s="104">
        <f>SUM(G115:H115)</f>
        <v>450000</v>
      </c>
      <c r="G115" s="157">
        <v>0</v>
      </c>
      <c r="H115" s="24">
        <f>SUM(I115:K115)</f>
        <v>450000</v>
      </c>
      <c r="I115" s="24">
        <v>450000</v>
      </c>
      <c r="J115" s="160"/>
      <c r="K115" s="157"/>
      <c r="L115" s="279">
        <f>SUM(E115+F115-P115)</f>
        <v>450000</v>
      </c>
      <c r="M115" s="173">
        <v>450000</v>
      </c>
      <c r="N115" s="24"/>
      <c r="O115" s="24"/>
      <c r="P115" s="106">
        <v>1000</v>
      </c>
    </row>
    <row r="116" spans="1:16" ht="13.5" customHeight="1">
      <c r="A116" s="1407"/>
      <c r="B116" s="751"/>
      <c r="C116" s="182">
        <v>801</v>
      </c>
      <c r="D116" s="183">
        <v>80146</v>
      </c>
      <c r="E116" s="274">
        <v>0</v>
      </c>
      <c r="F116" s="104">
        <f>SUM(G116:H116)</f>
        <v>2200</v>
      </c>
      <c r="G116" s="280"/>
      <c r="H116" s="24">
        <f>SUM(I116:K116)</f>
        <v>2200</v>
      </c>
      <c r="I116" s="24">
        <v>2200</v>
      </c>
      <c r="J116" s="160"/>
      <c r="K116" s="157"/>
      <c r="L116" s="279">
        <f>SUM(E116+F116-P116)</f>
        <v>2200</v>
      </c>
      <c r="M116" s="173">
        <v>2200</v>
      </c>
      <c r="N116" s="24"/>
      <c r="O116" s="24"/>
      <c r="P116" s="106">
        <v>0</v>
      </c>
    </row>
    <row r="117" spans="1:16" ht="13.5" customHeight="1">
      <c r="A117" s="113"/>
      <c r="B117" s="752"/>
      <c r="C117" s="182">
        <v>854</v>
      </c>
      <c r="D117" s="183">
        <v>85415</v>
      </c>
      <c r="E117" s="275">
        <v>0</v>
      </c>
      <c r="F117" s="104">
        <f>SUM(G117:H117)</f>
        <v>2750</v>
      </c>
      <c r="G117" s="281"/>
      <c r="H117" s="24">
        <f>SUM(I117:K117)</f>
        <v>2750</v>
      </c>
      <c r="I117" s="24">
        <v>2750</v>
      </c>
      <c r="J117" s="160"/>
      <c r="K117" s="157"/>
      <c r="L117" s="279">
        <f>SUM(E117+F117-P117)</f>
        <v>2750</v>
      </c>
      <c r="M117" s="173">
        <v>2750</v>
      </c>
      <c r="N117" s="24"/>
      <c r="O117" s="24"/>
      <c r="P117" s="106">
        <v>0</v>
      </c>
    </row>
    <row r="118" spans="1:16" ht="13.5" customHeight="1">
      <c r="A118" s="1406" t="s">
        <v>397</v>
      </c>
      <c r="B118" s="746" t="s">
        <v>269</v>
      </c>
      <c r="C118" s="1408" t="s">
        <v>457</v>
      </c>
      <c r="D118" s="1409"/>
      <c r="E118" s="186">
        <f aca="true" t="shared" si="27" ref="E118:P118">SUM(E119:E121)</f>
        <v>10000</v>
      </c>
      <c r="F118" s="162">
        <f t="shared" si="27"/>
        <v>841946</v>
      </c>
      <c r="G118" s="186">
        <f t="shared" si="27"/>
        <v>133896</v>
      </c>
      <c r="H118" s="162">
        <f t="shared" si="27"/>
        <v>708050</v>
      </c>
      <c r="I118" s="162">
        <f t="shared" si="27"/>
        <v>708050</v>
      </c>
      <c r="J118" s="187">
        <f t="shared" si="27"/>
        <v>0</v>
      </c>
      <c r="K118" s="186">
        <f t="shared" si="27"/>
        <v>0</v>
      </c>
      <c r="L118" s="188">
        <f t="shared" si="27"/>
        <v>841946</v>
      </c>
      <c r="M118" s="305">
        <f t="shared" si="27"/>
        <v>841946</v>
      </c>
      <c r="N118" s="162"/>
      <c r="O118" s="162"/>
      <c r="P118" s="181">
        <f t="shared" si="27"/>
        <v>10000</v>
      </c>
    </row>
    <row r="119" spans="1:16" ht="13.5" customHeight="1">
      <c r="A119" s="1407"/>
      <c r="B119" s="747" t="s">
        <v>270</v>
      </c>
      <c r="C119" s="182">
        <v>801</v>
      </c>
      <c r="D119" s="183">
        <v>80110</v>
      </c>
      <c r="E119" s="103">
        <v>10000</v>
      </c>
      <c r="F119" s="104">
        <f>SUM(G119:H119)</f>
        <v>833896</v>
      </c>
      <c r="G119" s="157">
        <v>133896</v>
      </c>
      <c r="H119" s="24">
        <f>SUM(I119:K119)</f>
        <v>700000</v>
      </c>
      <c r="I119" s="24">
        <v>700000</v>
      </c>
      <c r="J119" s="160"/>
      <c r="K119" s="157"/>
      <c r="L119" s="279">
        <f>SUM(E119+F119-P119)</f>
        <v>833896</v>
      </c>
      <c r="M119" s="173">
        <v>833896</v>
      </c>
      <c r="N119" s="24"/>
      <c r="O119" s="24"/>
      <c r="P119" s="106">
        <v>10000</v>
      </c>
    </row>
    <row r="120" spans="1:16" ht="13.5" customHeight="1">
      <c r="A120" s="1407"/>
      <c r="B120" s="753"/>
      <c r="C120" s="182">
        <v>801</v>
      </c>
      <c r="D120" s="183">
        <v>80146</v>
      </c>
      <c r="E120" s="280">
        <v>0</v>
      </c>
      <c r="F120" s="104">
        <f>SUM(G120:H120)</f>
        <v>2200</v>
      </c>
      <c r="G120" s="160"/>
      <c r="H120" s="24">
        <f>SUM(I120:K120)</f>
        <v>2200</v>
      </c>
      <c r="I120" s="24">
        <v>2200</v>
      </c>
      <c r="J120" s="160"/>
      <c r="K120" s="157"/>
      <c r="L120" s="279">
        <f>SUM(E120+F120-P120)</f>
        <v>2200</v>
      </c>
      <c r="M120" s="173">
        <v>2200</v>
      </c>
      <c r="N120" s="24"/>
      <c r="O120" s="24"/>
      <c r="P120" s="106">
        <v>0</v>
      </c>
    </row>
    <row r="121" spans="1:16" ht="13.5" customHeight="1" thickBot="1">
      <c r="A121" s="113"/>
      <c r="B121" s="754"/>
      <c r="C121" s="182">
        <v>854</v>
      </c>
      <c r="D121" s="183">
        <v>85415</v>
      </c>
      <c r="E121" s="291">
        <v>0</v>
      </c>
      <c r="F121" s="104">
        <f>SUM(G121:H121)</f>
        <v>5850</v>
      </c>
      <c r="G121" s="292"/>
      <c r="H121" s="24">
        <f>SUM(I121:K121)</f>
        <v>5850</v>
      </c>
      <c r="I121" s="163">
        <v>5850</v>
      </c>
      <c r="J121" s="163"/>
      <c r="K121" s="200"/>
      <c r="L121" s="285">
        <f>SUM(E121+F121-P121)</f>
        <v>5850</v>
      </c>
      <c r="M121" s="171">
        <v>5850</v>
      </c>
      <c r="N121" s="195"/>
      <c r="O121" s="195"/>
      <c r="P121" s="198">
        <v>0</v>
      </c>
    </row>
    <row r="122" spans="1:16" ht="13.5" customHeight="1" thickBot="1">
      <c r="A122" s="115" t="s">
        <v>398</v>
      </c>
      <c r="B122" s="69" t="s">
        <v>212</v>
      </c>
      <c r="C122" s="116">
        <v>853</v>
      </c>
      <c r="D122" s="117">
        <v>85305</v>
      </c>
      <c r="E122" s="118">
        <v>20000</v>
      </c>
      <c r="F122" s="119">
        <f>SUM(G122:H122)</f>
        <v>1307171</v>
      </c>
      <c r="G122" s="293">
        <v>377171</v>
      </c>
      <c r="H122" s="112">
        <f>SUM(I122:K122)</f>
        <v>930000</v>
      </c>
      <c r="I122" s="120">
        <v>930000</v>
      </c>
      <c r="J122" s="120"/>
      <c r="K122" s="121"/>
      <c r="L122" s="547">
        <f>SUM(E122+F122-P122)</f>
        <v>1307171</v>
      </c>
      <c r="M122" s="727">
        <f>L122-N122</f>
        <v>1284771</v>
      </c>
      <c r="N122" s="728">
        <v>22400</v>
      </c>
      <c r="O122" s="728"/>
      <c r="P122" s="482">
        <v>20000</v>
      </c>
    </row>
    <row r="123" spans="1:16" ht="21.75" customHeight="1" thickBot="1">
      <c r="A123" s="1403" t="s">
        <v>213</v>
      </c>
      <c r="B123" s="1404"/>
      <c r="C123" s="1404"/>
      <c r="D123" s="1405"/>
      <c r="E123" s="66">
        <f>SUM(E10+E16+E21+E22+E65+E96+E122)</f>
        <v>2133287</v>
      </c>
      <c r="F123" s="66">
        <f aca="true" t="shared" si="28" ref="F123:P123">SUM(F10+F16+F21+F22+F65+F96+F122)</f>
        <v>88504981</v>
      </c>
      <c r="G123" s="66">
        <f t="shared" si="28"/>
        <v>45901596</v>
      </c>
      <c r="H123" s="66">
        <f t="shared" si="28"/>
        <v>42603385</v>
      </c>
      <c r="I123" s="66">
        <f t="shared" si="28"/>
        <v>36383385</v>
      </c>
      <c r="J123" s="66">
        <f t="shared" si="28"/>
        <v>2900000</v>
      </c>
      <c r="K123" s="66">
        <f t="shared" si="28"/>
        <v>3320000</v>
      </c>
      <c r="L123" s="66">
        <f t="shared" si="28"/>
        <v>88551881</v>
      </c>
      <c r="M123" s="66">
        <f t="shared" si="28"/>
        <v>84670181</v>
      </c>
      <c r="N123" s="66">
        <f>SUM(N10+N16+N21+N22+N65+N96+N122)</f>
        <v>3881700</v>
      </c>
      <c r="O123" s="66">
        <f t="shared" si="28"/>
        <v>0</v>
      </c>
      <c r="P123" s="1326">
        <f t="shared" si="28"/>
        <v>2086387</v>
      </c>
    </row>
    <row r="124" spans="12:15" ht="12">
      <c r="L124" s="100"/>
      <c r="O124" s="100"/>
    </row>
    <row r="125" spans="5:15" ht="12">
      <c r="E125" s="100"/>
      <c r="H125" s="100"/>
      <c r="L125" s="100"/>
      <c r="O125" s="100"/>
    </row>
    <row r="126" spans="5:15" ht="12">
      <c r="E126" s="100"/>
      <c r="H126" s="100"/>
      <c r="I126" s="1108"/>
      <c r="L126" s="100"/>
      <c r="O126" s="100"/>
    </row>
    <row r="127" spans="9:15" ht="12">
      <c r="I127" s="735"/>
      <c r="O127" s="100"/>
    </row>
    <row r="128" spans="9:15" ht="12">
      <c r="I128" s="100"/>
      <c r="O128" s="100"/>
    </row>
    <row r="129" spans="9:15" ht="12">
      <c r="I129" s="735"/>
      <c r="J129" s="1116"/>
      <c r="O129" s="100"/>
    </row>
    <row r="130" spans="9:15" ht="12">
      <c r="I130" s="100"/>
      <c r="J130" s="1270"/>
      <c r="O130" s="100"/>
    </row>
    <row r="131" ht="12">
      <c r="O131" s="100"/>
    </row>
    <row r="132" ht="12">
      <c r="O132" s="100"/>
    </row>
    <row r="133" spans="4:15" ht="12">
      <c r="D133" s="1116"/>
      <c r="F133" s="100"/>
      <c r="O133" s="100"/>
    </row>
    <row r="134" ht="12">
      <c r="O134" s="100"/>
    </row>
    <row r="135" ht="12">
      <c r="O135" s="100"/>
    </row>
    <row r="136" ht="12">
      <c r="O136" s="100"/>
    </row>
    <row r="137" ht="12">
      <c r="O137" s="100"/>
    </row>
    <row r="138" ht="12">
      <c r="O138" s="100"/>
    </row>
    <row r="139" ht="12">
      <c r="O139" s="100"/>
    </row>
    <row r="140" ht="12">
      <c r="O140" s="100"/>
    </row>
    <row r="141" ht="12">
      <c r="O141" s="100"/>
    </row>
    <row r="142" ht="12">
      <c r="O142" s="100"/>
    </row>
    <row r="143" ht="12">
      <c r="O143" s="100"/>
    </row>
    <row r="144" ht="12">
      <c r="O144" s="100"/>
    </row>
    <row r="145" ht="12">
      <c r="O145" s="100"/>
    </row>
    <row r="146" ht="12">
      <c r="O146" s="100"/>
    </row>
    <row r="147" ht="12">
      <c r="O147" s="100"/>
    </row>
    <row r="148" ht="12">
      <c r="O148" s="100"/>
    </row>
    <row r="149" ht="12">
      <c r="O149" s="100"/>
    </row>
    <row r="150" ht="12">
      <c r="O150" s="100"/>
    </row>
    <row r="151" ht="12">
      <c r="O151" s="100"/>
    </row>
    <row r="152" ht="12">
      <c r="O152" s="100"/>
    </row>
    <row r="153" ht="12">
      <c r="O153" s="100"/>
    </row>
    <row r="154" ht="12">
      <c r="O154" s="100"/>
    </row>
    <row r="155" ht="12">
      <c r="O155" s="100"/>
    </row>
    <row r="156" ht="12">
      <c r="O156" s="100"/>
    </row>
    <row r="157" ht="12">
      <c r="O157" s="100"/>
    </row>
    <row r="158" ht="12">
      <c r="O158" s="100"/>
    </row>
    <row r="159" ht="12">
      <c r="O159" s="100"/>
    </row>
    <row r="160" ht="12">
      <c r="O160" s="100"/>
    </row>
    <row r="161" ht="12">
      <c r="O161" s="100"/>
    </row>
    <row r="162" ht="12">
      <c r="O162" s="100"/>
    </row>
    <row r="163" ht="12">
      <c r="O163" s="100"/>
    </row>
    <row r="164" ht="12">
      <c r="O164" s="100"/>
    </row>
    <row r="165" ht="12">
      <c r="O165" s="100"/>
    </row>
    <row r="166" ht="12">
      <c r="O166" s="100"/>
    </row>
    <row r="167" ht="12">
      <c r="O167" s="100"/>
    </row>
    <row r="168" ht="12">
      <c r="O168" s="100"/>
    </row>
    <row r="169" ht="12">
      <c r="O169" s="100"/>
    </row>
    <row r="170" ht="12">
      <c r="O170" s="100"/>
    </row>
    <row r="171" ht="12">
      <c r="O171" s="100"/>
    </row>
    <row r="172" ht="12">
      <c r="O172" s="100"/>
    </row>
    <row r="173" ht="12">
      <c r="O173" s="100"/>
    </row>
    <row r="174" ht="12">
      <c r="O174" s="100"/>
    </row>
    <row r="175" ht="12">
      <c r="O175" s="100"/>
    </row>
    <row r="176" ht="12">
      <c r="O176" s="100"/>
    </row>
    <row r="177" ht="12">
      <c r="O177" s="100"/>
    </row>
    <row r="178" ht="12">
      <c r="O178" s="100"/>
    </row>
    <row r="179" ht="12">
      <c r="O179" s="100"/>
    </row>
    <row r="180" ht="12">
      <c r="O180" s="100"/>
    </row>
    <row r="181" ht="12">
      <c r="O181" s="100"/>
    </row>
    <row r="182" ht="12">
      <c r="O182" s="100"/>
    </row>
    <row r="183" ht="12">
      <c r="O183" s="100"/>
    </row>
    <row r="184" ht="12">
      <c r="O184" s="100"/>
    </row>
    <row r="185" ht="12">
      <c r="O185" s="100"/>
    </row>
    <row r="186" ht="12">
      <c r="O186" s="100"/>
    </row>
    <row r="187" ht="12">
      <c r="O187" s="100"/>
    </row>
    <row r="188" ht="12">
      <c r="O188" s="100"/>
    </row>
    <row r="189" ht="12">
      <c r="O189" s="100"/>
    </row>
    <row r="190" ht="12">
      <c r="O190" s="100"/>
    </row>
    <row r="191" ht="12">
      <c r="O191" s="100"/>
    </row>
  </sheetData>
  <sheetProtection/>
  <mergeCells count="87">
    <mergeCell ref="A96:A98"/>
    <mergeCell ref="B97:B98"/>
    <mergeCell ref="A101:A103"/>
    <mergeCell ref="C101:D101"/>
    <mergeCell ref="B102:B105"/>
    <mergeCell ref="A118:A120"/>
    <mergeCell ref="C118:D118"/>
    <mergeCell ref="A90:A92"/>
    <mergeCell ref="C90:D90"/>
    <mergeCell ref="B91:B92"/>
    <mergeCell ref="A93:A95"/>
    <mergeCell ref="C93:D93"/>
    <mergeCell ref="B94:B95"/>
    <mergeCell ref="A83:A85"/>
    <mergeCell ref="C83:D83"/>
    <mergeCell ref="B84:B85"/>
    <mergeCell ref="A86:A88"/>
    <mergeCell ref="C86:D86"/>
    <mergeCell ref="B87:B88"/>
    <mergeCell ref="A77:A79"/>
    <mergeCell ref="C77:D77"/>
    <mergeCell ref="B78:B79"/>
    <mergeCell ref="A80:A82"/>
    <mergeCell ref="C80:D80"/>
    <mergeCell ref="B81:B82"/>
    <mergeCell ref="A71:A73"/>
    <mergeCell ref="C71:D71"/>
    <mergeCell ref="B72:B73"/>
    <mergeCell ref="A74:A76"/>
    <mergeCell ref="C74:D74"/>
    <mergeCell ref="B75:B76"/>
    <mergeCell ref="A60:A63"/>
    <mergeCell ref="C60:D60"/>
    <mergeCell ref="A65:A67"/>
    <mergeCell ref="B66:B67"/>
    <mergeCell ref="A68:A70"/>
    <mergeCell ref="C68:D68"/>
    <mergeCell ref="B69:B70"/>
    <mergeCell ref="A50:A54"/>
    <mergeCell ref="C50:D50"/>
    <mergeCell ref="B51:B54"/>
    <mergeCell ref="A55:A58"/>
    <mergeCell ref="C55:D55"/>
    <mergeCell ref="B56:B59"/>
    <mergeCell ref="C33:D33"/>
    <mergeCell ref="B34:B36"/>
    <mergeCell ref="A38:A42"/>
    <mergeCell ref="C38:D38"/>
    <mergeCell ref="B39:B42"/>
    <mergeCell ref="A44:A49"/>
    <mergeCell ref="C44:D44"/>
    <mergeCell ref="A16:A20"/>
    <mergeCell ref="B16:B20"/>
    <mergeCell ref="A22:A25"/>
    <mergeCell ref="B23:B25"/>
    <mergeCell ref="A28:A31"/>
    <mergeCell ref="C28:D28"/>
    <mergeCell ref="B29:B31"/>
    <mergeCell ref="C16:D16"/>
    <mergeCell ref="O2:P2"/>
    <mergeCell ref="G6:K6"/>
    <mergeCell ref="E6:E8"/>
    <mergeCell ref="F6:F8"/>
    <mergeCell ref="L6:L8"/>
    <mergeCell ref="M7:M8"/>
    <mergeCell ref="M6:O6"/>
    <mergeCell ref="I7:K7"/>
    <mergeCell ref="H7:H8"/>
    <mergeCell ref="G7:G8"/>
    <mergeCell ref="A4:P4"/>
    <mergeCell ref="A6:A8"/>
    <mergeCell ref="B6:B8"/>
    <mergeCell ref="C6:C8"/>
    <mergeCell ref="D6:D8"/>
    <mergeCell ref="A33:A36"/>
    <mergeCell ref="P6:P8"/>
    <mergeCell ref="A10:A15"/>
    <mergeCell ref="B10:B15"/>
    <mergeCell ref="C10:D10"/>
    <mergeCell ref="A123:D123"/>
    <mergeCell ref="A106:A108"/>
    <mergeCell ref="C106:D106"/>
    <mergeCell ref="A110:A112"/>
    <mergeCell ref="C110:D110"/>
    <mergeCell ref="B111:B113"/>
    <mergeCell ref="A114:A116"/>
    <mergeCell ref="C114:D114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69" r:id="rId1"/>
  <rowBreaks count="3" manualBreakCount="3">
    <brk id="42" max="15" man="1"/>
    <brk id="88" max="15" man="1"/>
    <brk id="1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44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00390625" defaultRowHeight="12"/>
  <cols>
    <col min="1" max="1" width="5.25390625" style="10" customWidth="1"/>
    <col min="2" max="2" width="58.00390625" style="10" customWidth="1"/>
    <col min="3" max="3" width="9.375" style="10" customWidth="1"/>
    <col min="4" max="4" width="11.125" style="10" customWidth="1"/>
    <col min="5" max="5" width="19.875" style="10" customWidth="1"/>
    <col min="6" max="16384" width="9.125" style="10" customWidth="1"/>
  </cols>
  <sheetData>
    <row r="1" spans="5:6" ht="48" customHeight="1">
      <c r="E1" s="1483" t="s">
        <v>629</v>
      </c>
      <c r="F1" s="1483"/>
    </row>
    <row r="2" spans="1:6" ht="81.75" customHeight="1">
      <c r="A2" s="1482" t="s">
        <v>619</v>
      </c>
      <c r="B2" s="1482"/>
      <c r="C2" s="1482"/>
      <c r="D2" s="1482"/>
      <c r="E2" s="1482"/>
      <c r="F2" s="23"/>
    </row>
    <row r="3" spans="1:5" s="310" customFormat="1" ht="16.5" thickBot="1">
      <c r="A3" s="5"/>
      <c r="B3" s="88"/>
      <c r="C3" s="88"/>
      <c r="D3" s="88"/>
      <c r="E3" s="58" t="s">
        <v>116</v>
      </c>
    </row>
    <row r="4" spans="1:6" ht="15" customHeight="1">
      <c r="A4" s="1484" t="s">
        <v>115</v>
      </c>
      <c r="B4" s="1486" t="s">
        <v>313</v>
      </c>
      <c r="C4" s="1486" t="s">
        <v>440</v>
      </c>
      <c r="D4" s="1486" t="s">
        <v>458</v>
      </c>
      <c r="E4" s="1488" t="s">
        <v>21</v>
      </c>
      <c r="F4" s="63"/>
    </row>
    <row r="5" spans="1:6" ht="15" customHeight="1">
      <c r="A5" s="1485"/>
      <c r="B5" s="1487"/>
      <c r="C5" s="1487"/>
      <c r="D5" s="1487"/>
      <c r="E5" s="1489"/>
      <c r="F5" s="63"/>
    </row>
    <row r="6" spans="1:5" ht="12.75" thickBot="1">
      <c r="A6" s="453">
        <v>1</v>
      </c>
      <c r="B6" s="454">
        <v>2</v>
      </c>
      <c r="C6" s="454">
        <v>3</v>
      </c>
      <c r="D6" s="454">
        <v>4</v>
      </c>
      <c r="E6" s="455">
        <v>5</v>
      </c>
    </row>
    <row r="7" spans="1:5" ht="14.25">
      <c r="A7" s="71"/>
      <c r="B7" s="72"/>
      <c r="C7" s="452"/>
      <c r="D7" s="207"/>
      <c r="E7" s="73"/>
    </row>
    <row r="8" spans="1:6" ht="15">
      <c r="A8" s="7">
        <v>1</v>
      </c>
      <c r="B8" s="4" t="s">
        <v>464</v>
      </c>
      <c r="C8" s="75">
        <v>630</v>
      </c>
      <c r="D8" s="76">
        <v>63003</v>
      </c>
      <c r="E8" s="74">
        <v>9700</v>
      </c>
      <c r="F8"/>
    </row>
    <row r="9" spans="1:5" ht="14.25">
      <c r="A9" s="7"/>
      <c r="B9" s="4"/>
      <c r="C9" s="75"/>
      <c r="D9" s="76"/>
      <c r="E9" s="77"/>
    </row>
    <row r="10" spans="1:5" ht="15">
      <c r="A10" s="71">
        <v>2</v>
      </c>
      <c r="B10" s="4" t="s">
        <v>392</v>
      </c>
      <c r="C10" s="26">
        <v>851</v>
      </c>
      <c r="D10" s="26"/>
      <c r="E10" s="126">
        <f>SUM(E14:E16)</f>
        <v>123650</v>
      </c>
    </row>
    <row r="11" spans="1:5" ht="14.25">
      <c r="A11" s="71"/>
      <c r="B11" s="4" t="s">
        <v>78</v>
      </c>
      <c r="C11" s="123"/>
      <c r="D11" s="3"/>
      <c r="E11" s="77"/>
    </row>
    <row r="12" spans="1:5" ht="14.25">
      <c r="A12" s="7">
        <v>3</v>
      </c>
      <c r="B12" s="4" t="s">
        <v>126</v>
      </c>
      <c r="C12" s="75"/>
      <c r="D12" s="76"/>
      <c r="E12" s="77"/>
    </row>
    <row r="13" spans="1:5" ht="14.25">
      <c r="A13" s="7"/>
      <c r="B13" s="4" t="s">
        <v>127</v>
      </c>
      <c r="C13" s="75"/>
      <c r="D13" s="76"/>
      <c r="E13" s="77"/>
    </row>
    <row r="14" spans="1:6" ht="14.25">
      <c r="A14" s="7"/>
      <c r="B14" s="4" t="s">
        <v>504</v>
      </c>
      <c r="C14" s="75">
        <v>851</v>
      </c>
      <c r="D14" s="314">
        <v>85154</v>
      </c>
      <c r="E14" s="77">
        <v>20000</v>
      </c>
      <c r="F14"/>
    </row>
    <row r="15" spans="1:6" ht="14.25">
      <c r="A15" s="7">
        <v>4</v>
      </c>
      <c r="B15" s="4" t="s">
        <v>316</v>
      </c>
      <c r="C15" s="75">
        <v>851</v>
      </c>
      <c r="D15" s="76">
        <v>85154</v>
      </c>
      <c r="E15" s="77">
        <v>60000</v>
      </c>
      <c r="F15"/>
    </row>
    <row r="16" spans="1:6" ht="28.5">
      <c r="A16" s="7">
        <v>5</v>
      </c>
      <c r="B16" s="1061" t="s">
        <v>569</v>
      </c>
      <c r="C16" s="26">
        <v>851</v>
      </c>
      <c r="D16" s="26">
        <v>85195</v>
      </c>
      <c r="E16" s="77">
        <v>43650</v>
      </c>
      <c r="F16"/>
    </row>
    <row r="17" spans="1:5" ht="14.25">
      <c r="A17" s="7"/>
      <c r="B17" s="4"/>
      <c r="C17" s="26"/>
      <c r="D17" s="26"/>
      <c r="E17" s="77"/>
    </row>
    <row r="18" spans="1:5" ht="15">
      <c r="A18" s="7">
        <v>6</v>
      </c>
      <c r="B18" s="4" t="s">
        <v>393</v>
      </c>
      <c r="C18" s="26">
        <v>852</v>
      </c>
      <c r="D18" s="26"/>
      <c r="E18" s="126">
        <f>SUM(E20:E22)</f>
        <v>227000</v>
      </c>
    </row>
    <row r="19" spans="1:5" ht="15">
      <c r="A19" s="7"/>
      <c r="B19" s="4" t="s">
        <v>78</v>
      </c>
      <c r="C19" s="26"/>
      <c r="D19" s="26"/>
      <c r="E19" s="74"/>
    </row>
    <row r="20" spans="1:5" s="817" customFormat="1" ht="14.25">
      <c r="A20" s="7">
        <v>7</v>
      </c>
      <c r="B20" s="4" t="s">
        <v>205</v>
      </c>
      <c r="C20" s="26">
        <v>852</v>
      </c>
      <c r="D20" s="26">
        <v>85203</v>
      </c>
      <c r="E20" s="77">
        <v>182000</v>
      </c>
    </row>
    <row r="21" spans="1:5" ht="14.25">
      <c r="A21" s="7">
        <v>8</v>
      </c>
      <c r="B21" s="4" t="s">
        <v>253</v>
      </c>
      <c r="C21" s="26"/>
      <c r="D21" s="26"/>
      <c r="E21" s="77"/>
    </row>
    <row r="22" spans="1:6" ht="14.25">
      <c r="A22" s="7"/>
      <c r="B22" s="4" t="s">
        <v>254</v>
      </c>
      <c r="C22" s="26">
        <v>852</v>
      </c>
      <c r="D22" s="26">
        <v>85295</v>
      </c>
      <c r="E22" s="77">
        <v>45000</v>
      </c>
      <c r="F22"/>
    </row>
    <row r="23" spans="1:5" ht="14.25">
      <c r="A23" s="7"/>
      <c r="B23" s="4"/>
      <c r="C23" s="26"/>
      <c r="D23" s="26"/>
      <c r="E23" s="77"/>
    </row>
    <row r="24" spans="1:6" ht="15">
      <c r="A24" s="7">
        <v>9</v>
      </c>
      <c r="B24" s="4" t="s">
        <v>255</v>
      </c>
      <c r="C24" s="26">
        <v>853</v>
      </c>
      <c r="D24" s="26">
        <v>85395</v>
      </c>
      <c r="E24" s="74">
        <v>9500</v>
      </c>
      <c r="F24"/>
    </row>
    <row r="25" spans="1:5" ht="15">
      <c r="A25" s="7"/>
      <c r="B25" s="4" t="s">
        <v>256</v>
      </c>
      <c r="C25" s="26"/>
      <c r="D25" s="26"/>
      <c r="E25" s="74"/>
    </row>
    <row r="26" spans="1:5" ht="15">
      <c r="A26" s="7"/>
      <c r="B26" s="4" t="s">
        <v>257</v>
      </c>
      <c r="C26" s="26"/>
      <c r="D26" s="26"/>
      <c r="E26" s="74"/>
    </row>
    <row r="27" spans="1:5" ht="15">
      <c r="A27" s="7"/>
      <c r="B27" s="4" t="s">
        <v>258</v>
      </c>
      <c r="C27" s="26"/>
      <c r="D27" s="26"/>
      <c r="E27" s="74"/>
    </row>
    <row r="28" spans="1:5" ht="15">
      <c r="A28" s="7"/>
      <c r="B28" s="4" t="s">
        <v>259</v>
      </c>
      <c r="C28" s="26"/>
      <c r="D28" s="26"/>
      <c r="E28" s="74"/>
    </row>
    <row r="29" spans="1:5" ht="14.25">
      <c r="A29" s="7"/>
      <c r="B29" s="4"/>
      <c r="C29" s="26"/>
      <c r="D29" s="26"/>
      <c r="E29" s="77"/>
    </row>
    <row r="30" spans="1:6" ht="29.25">
      <c r="A30" s="1062">
        <v>10</v>
      </c>
      <c r="B30" s="1061" t="s">
        <v>505</v>
      </c>
      <c r="C30" s="26">
        <v>854</v>
      </c>
      <c r="D30" s="26">
        <v>85412</v>
      </c>
      <c r="E30" s="74">
        <v>58200</v>
      </c>
      <c r="F30"/>
    </row>
    <row r="31" spans="1:5" ht="14.25">
      <c r="A31" s="7"/>
      <c r="B31" s="4"/>
      <c r="C31" s="26"/>
      <c r="D31" s="26"/>
      <c r="E31" s="77"/>
    </row>
    <row r="32" spans="1:5" ht="14.25">
      <c r="A32" s="7">
        <v>11</v>
      </c>
      <c r="B32" s="4" t="s">
        <v>333</v>
      </c>
      <c r="C32" s="26"/>
      <c r="D32" s="26"/>
      <c r="E32" s="77"/>
    </row>
    <row r="33" spans="1:5" ht="15">
      <c r="A33" s="7"/>
      <c r="B33" s="4" t="s">
        <v>334</v>
      </c>
      <c r="C33" s="26">
        <v>921</v>
      </c>
      <c r="D33" s="26"/>
      <c r="E33" s="126">
        <f>SUM(E35:E38)</f>
        <v>85500</v>
      </c>
    </row>
    <row r="34" spans="1:5" ht="14.25">
      <c r="A34" s="7"/>
      <c r="B34" s="123" t="s">
        <v>78</v>
      </c>
      <c r="C34" s="26"/>
      <c r="D34" s="26"/>
      <c r="E34" s="77"/>
    </row>
    <row r="35" spans="1:6" ht="14.25">
      <c r="A35" s="7">
        <v>12</v>
      </c>
      <c r="B35" s="123" t="s">
        <v>128</v>
      </c>
      <c r="C35" s="26">
        <v>921</v>
      </c>
      <c r="D35" s="26">
        <v>92120</v>
      </c>
      <c r="E35" s="77">
        <v>40700</v>
      </c>
      <c r="F35"/>
    </row>
    <row r="36" spans="1:5" ht="14.25">
      <c r="A36" s="7">
        <v>13</v>
      </c>
      <c r="B36" s="123" t="s">
        <v>129</v>
      </c>
      <c r="C36" s="26"/>
      <c r="D36" s="26"/>
      <c r="E36" s="77"/>
    </row>
    <row r="37" spans="1:5" ht="14.25">
      <c r="A37" s="7"/>
      <c r="B37" s="123" t="s">
        <v>131</v>
      </c>
      <c r="C37" s="26"/>
      <c r="D37" s="26"/>
      <c r="E37" s="77"/>
    </row>
    <row r="38" spans="1:6" ht="14.25">
      <c r="A38" s="7"/>
      <c r="B38" s="123" t="s">
        <v>130</v>
      </c>
      <c r="C38" s="26">
        <v>921</v>
      </c>
      <c r="D38" s="26">
        <v>92195</v>
      </c>
      <c r="E38" s="77">
        <f>38800+6000</f>
        <v>44800</v>
      </c>
      <c r="F38"/>
    </row>
    <row r="39" spans="1:5" ht="14.25">
      <c r="A39" s="7"/>
      <c r="B39" s="123"/>
      <c r="C39" s="26"/>
      <c r="D39" s="26"/>
      <c r="E39" s="77"/>
    </row>
    <row r="40" spans="1:5" ht="14.25">
      <c r="A40" s="7">
        <v>14</v>
      </c>
      <c r="B40" s="4" t="s">
        <v>124</v>
      </c>
      <c r="C40" s="26"/>
      <c r="D40" s="26"/>
      <c r="E40" s="77"/>
    </row>
    <row r="41" spans="1:6" ht="15">
      <c r="A41" s="7"/>
      <c r="B41" s="4" t="s">
        <v>125</v>
      </c>
      <c r="C41" s="26">
        <v>926</v>
      </c>
      <c r="D41" s="26">
        <v>92605</v>
      </c>
      <c r="E41" s="74">
        <f>727500+100000+300000</f>
        <v>1127500</v>
      </c>
      <c r="F41"/>
    </row>
    <row r="42" spans="1:5" ht="15" thickBot="1">
      <c r="A42" s="9"/>
      <c r="B42" s="27"/>
      <c r="C42" s="8"/>
      <c r="D42" s="8"/>
      <c r="E42" s="269"/>
    </row>
    <row r="43" spans="1:5" ht="14.25">
      <c r="A43" s="7"/>
      <c r="B43" s="4"/>
      <c r="C43" s="26"/>
      <c r="D43" s="26"/>
      <c r="E43" s="77"/>
    </row>
    <row r="44" spans="1:5" ht="15.75" thickBot="1">
      <c r="A44" s="9"/>
      <c r="B44" s="258" t="s">
        <v>457</v>
      </c>
      <c r="C44" s="258" t="s">
        <v>117</v>
      </c>
      <c r="D44" s="258" t="s">
        <v>117</v>
      </c>
      <c r="E44" s="270">
        <f>SUM(E8,E10,E18,E24,E30,E33,E41)</f>
        <v>1641050</v>
      </c>
    </row>
  </sheetData>
  <sheetProtection/>
  <mergeCells count="7">
    <mergeCell ref="A2:E2"/>
    <mergeCell ref="E1:F1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47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5.375" style="10" bestFit="1" customWidth="1"/>
    <col min="2" max="2" width="45.00390625" style="10" customWidth="1"/>
    <col min="3" max="3" width="7.875" style="10" customWidth="1"/>
    <col min="4" max="4" width="9.75390625" style="10" bestFit="1" customWidth="1"/>
    <col min="5" max="5" width="11.25390625" style="10" customWidth="1"/>
    <col min="6" max="6" width="15.875" style="10" customWidth="1"/>
    <col min="7" max="7" width="11.25390625" style="10" customWidth="1"/>
    <col min="8" max="8" width="12.375" style="10" customWidth="1"/>
    <col min="9" max="9" width="14.125" style="59" customWidth="1"/>
    <col min="10" max="10" width="8.75390625" style="10" customWidth="1"/>
    <col min="11" max="16384" width="9.125" style="10" customWidth="1"/>
  </cols>
  <sheetData>
    <row r="1" spans="4:9" ht="46.5" customHeight="1">
      <c r="D1" s="28"/>
      <c r="E1" s="28"/>
      <c r="F1" s="28"/>
      <c r="G1" s="28"/>
      <c r="H1" s="1490" t="s">
        <v>630</v>
      </c>
      <c r="I1" s="1490"/>
    </row>
    <row r="3" spans="1:11" ht="15.75">
      <c r="A3" s="1379" t="s">
        <v>54</v>
      </c>
      <c r="B3" s="1379"/>
      <c r="C3" s="1379"/>
      <c r="D3" s="1379"/>
      <c r="E3" s="1379"/>
      <c r="F3" s="1379"/>
      <c r="G3" s="1379"/>
      <c r="H3" s="1379"/>
      <c r="I3" s="1379"/>
      <c r="J3" s="1"/>
      <c r="K3" s="1"/>
    </row>
    <row r="4" spans="1:9" ht="15" thickBot="1">
      <c r="A4" s="13"/>
      <c r="B4" s="13"/>
      <c r="C4" s="13"/>
      <c r="D4" s="13"/>
      <c r="E4" s="13"/>
      <c r="F4" s="13"/>
      <c r="G4" s="13"/>
      <c r="H4" s="13"/>
      <c r="I4" s="56" t="s">
        <v>116</v>
      </c>
    </row>
    <row r="5" spans="1:9" ht="15" customHeight="1">
      <c r="A5" s="1484" t="s">
        <v>115</v>
      </c>
      <c r="B5" s="1491" t="s">
        <v>278</v>
      </c>
      <c r="C5" s="1486" t="s">
        <v>440</v>
      </c>
      <c r="D5" s="1486" t="s">
        <v>458</v>
      </c>
      <c r="E5" s="1495" t="s">
        <v>421</v>
      </c>
      <c r="F5" s="1496"/>
      <c r="G5" s="1496"/>
      <c r="H5" s="1496"/>
      <c r="I5" s="1497"/>
    </row>
    <row r="6" spans="1:9" ht="15" customHeight="1">
      <c r="A6" s="1500"/>
      <c r="B6" s="1492"/>
      <c r="C6" s="1494"/>
      <c r="D6" s="1494"/>
      <c r="E6" s="1498" t="s">
        <v>399</v>
      </c>
      <c r="F6" s="1501" t="s">
        <v>78</v>
      </c>
      <c r="G6" s="1502"/>
      <c r="H6" s="1502"/>
      <c r="I6" s="1503"/>
    </row>
    <row r="7" spans="1:9" ht="15" customHeight="1">
      <c r="A7" s="1500"/>
      <c r="B7" s="1492"/>
      <c r="C7" s="1494"/>
      <c r="D7" s="1494"/>
      <c r="E7" s="1498"/>
      <c r="F7" s="1506" t="s">
        <v>276</v>
      </c>
      <c r="G7" s="1506" t="s">
        <v>277</v>
      </c>
      <c r="H7" s="1504" t="s">
        <v>78</v>
      </c>
      <c r="I7" s="1505"/>
    </row>
    <row r="8" spans="1:9" ht="44.25" customHeight="1">
      <c r="A8" s="1485"/>
      <c r="B8" s="1493"/>
      <c r="C8" s="1487"/>
      <c r="D8" s="1487"/>
      <c r="E8" s="1499"/>
      <c r="F8" s="1506"/>
      <c r="G8" s="1506"/>
      <c r="H8" s="456" t="s">
        <v>314</v>
      </c>
      <c r="I8" s="457" t="s">
        <v>315</v>
      </c>
    </row>
    <row r="9" spans="1:9" ht="12.75" thickBot="1">
      <c r="A9" s="442">
        <v>1</v>
      </c>
      <c r="B9" s="443">
        <v>2</v>
      </c>
      <c r="C9" s="443">
        <v>3</v>
      </c>
      <c r="D9" s="443">
        <v>4</v>
      </c>
      <c r="E9" s="443">
        <v>5</v>
      </c>
      <c r="F9" s="443">
        <v>6</v>
      </c>
      <c r="G9" s="443">
        <v>7</v>
      </c>
      <c r="H9" s="443">
        <v>8</v>
      </c>
      <c r="I9" s="466">
        <v>9</v>
      </c>
    </row>
    <row r="10" spans="1:9" ht="12.75">
      <c r="A10" s="30"/>
      <c r="B10" s="33" t="s">
        <v>419</v>
      </c>
      <c r="C10" s="36"/>
      <c r="D10" s="36"/>
      <c r="E10" s="36"/>
      <c r="F10" s="36"/>
      <c r="G10" s="36"/>
      <c r="H10" s="36"/>
      <c r="I10" s="31"/>
    </row>
    <row r="11" spans="1:9" ht="12.75">
      <c r="A11" s="32" t="s">
        <v>155</v>
      </c>
      <c r="B11" s="757" t="s">
        <v>132</v>
      </c>
      <c r="C11" s="36"/>
      <c r="D11" s="36"/>
      <c r="E11" s="761">
        <f>SUM(E13:E16)</f>
        <v>2986300</v>
      </c>
      <c r="F11" s="761">
        <f>SUM(F13:F16)</f>
        <v>2986300</v>
      </c>
      <c r="G11" s="761">
        <f>SUM(G13:G16)</f>
        <v>0</v>
      </c>
      <c r="H11" s="761">
        <f>SUM(H13:H16)</f>
        <v>0</v>
      </c>
      <c r="I11" s="760">
        <f>SUM(I13:I16)</f>
        <v>0</v>
      </c>
    </row>
    <row r="12" spans="1:9" ht="12.75">
      <c r="A12" s="30"/>
      <c r="B12" s="33"/>
      <c r="C12" s="36"/>
      <c r="D12" s="36"/>
      <c r="E12" s="36"/>
      <c r="F12" s="36"/>
      <c r="G12" s="36"/>
      <c r="H12" s="36"/>
      <c r="I12" s="31"/>
    </row>
    <row r="13" spans="1:9" ht="12.75">
      <c r="A13" s="317">
        <v>2</v>
      </c>
      <c r="B13" s="33" t="s">
        <v>279</v>
      </c>
      <c r="C13" s="36">
        <v>921</v>
      </c>
      <c r="D13" s="36">
        <v>92109</v>
      </c>
      <c r="E13" s="78">
        <f>SUM(F13:G13)</f>
        <v>1905000</v>
      </c>
      <c r="F13" s="78">
        <f>2696000-191000-600000</f>
        <v>1905000</v>
      </c>
      <c r="G13" s="78">
        <f>SUM(H13:I13)</f>
        <v>0</v>
      </c>
      <c r="H13" s="78"/>
      <c r="I13" s="759"/>
    </row>
    <row r="14" spans="1:9" ht="12.75">
      <c r="A14" s="317"/>
      <c r="B14" s="33"/>
      <c r="C14" s="33"/>
      <c r="D14" s="33"/>
      <c r="E14" s="78"/>
      <c r="F14" s="78"/>
      <c r="G14" s="78"/>
      <c r="H14" s="78"/>
      <c r="I14" s="759"/>
    </row>
    <row r="15" spans="1:9" ht="12.75">
      <c r="A15" s="317">
        <v>3</v>
      </c>
      <c r="B15" s="81" t="s">
        <v>280</v>
      </c>
      <c r="C15" s="33"/>
      <c r="D15" s="33"/>
      <c r="E15" s="78"/>
      <c r="F15" s="78"/>
      <c r="G15" s="78"/>
      <c r="H15" s="78"/>
      <c r="I15" s="759"/>
    </row>
    <row r="16" spans="1:9" s="57" customFormat="1" ht="12.75">
      <c r="A16" s="343"/>
      <c r="B16" s="81" t="s">
        <v>281</v>
      </c>
      <c r="C16" s="83">
        <v>921</v>
      </c>
      <c r="D16" s="83">
        <v>92116</v>
      </c>
      <c r="E16" s="78">
        <f>SUM(F16:G16)</f>
        <v>1081300</v>
      </c>
      <c r="F16" s="84">
        <v>1081300</v>
      </c>
      <c r="G16" s="78">
        <f>SUM(H16:I16)</f>
        <v>0</v>
      </c>
      <c r="H16" s="84"/>
      <c r="I16" s="86"/>
    </row>
    <row r="17" spans="1:9" ht="12.75">
      <c r="A17" s="32"/>
      <c r="B17" s="33"/>
      <c r="C17" s="33"/>
      <c r="D17" s="33"/>
      <c r="E17" s="78"/>
      <c r="F17" s="78"/>
      <c r="G17" s="78"/>
      <c r="H17" s="78"/>
      <c r="I17" s="260"/>
    </row>
    <row r="18" spans="1:9" ht="12.75">
      <c r="A18" s="32">
        <v>4</v>
      </c>
      <c r="B18" s="757" t="s">
        <v>133</v>
      </c>
      <c r="C18" s="33"/>
      <c r="D18" s="33"/>
      <c r="E18" s="758">
        <f>SUM(E22:E36)</f>
        <v>305000</v>
      </c>
      <c r="F18" s="758">
        <f>SUM(F22:F36)</f>
        <v>206000</v>
      </c>
      <c r="G18" s="758">
        <f>SUM(G22:G36)</f>
        <v>99000</v>
      </c>
      <c r="H18" s="758">
        <f>SUM(H22:H36)</f>
        <v>99000</v>
      </c>
      <c r="I18" s="760">
        <f>SUM(I21:I37)</f>
        <v>0</v>
      </c>
    </row>
    <row r="19" spans="1:9" ht="12.75">
      <c r="A19" s="32"/>
      <c r="B19" s="33"/>
      <c r="C19" s="33"/>
      <c r="D19" s="33"/>
      <c r="E19" s="78"/>
      <c r="F19" s="78"/>
      <c r="G19" s="78"/>
      <c r="H19" s="78"/>
      <c r="I19" s="260"/>
    </row>
    <row r="20" spans="1:9" s="57" customFormat="1" ht="12.75">
      <c r="A20" s="82">
        <v>5</v>
      </c>
      <c r="B20" s="33" t="s">
        <v>287</v>
      </c>
      <c r="C20" s="36"/>
      <c r="D20" s="36"/>
      <c r="E20" s="78"/>
      <c r="F20" s="84"/>
      <c r="G20" s="78"/>
      <c r="H20" s="84"/>
      <c r="I20" s="86"/>
    </row>
    <row r="21" spans="1:9" s="57" customFormat="1" ht="12.75">
      <c r="A21" s="82"/>
      <c r="B21" s="33" t="s">
        <v>282</v>
      </c>
      <c r="C21" s="36"/>
      <c r="D21" s="36"/>
      <c r="E21" s="78"/>
      <c r="F21" s="78"/>
      <c r="G21" s="78"/>
      <c r="H21" s="84"/>
      <c r="I21" s="86"/>
    </row>
    <row r="22" spans="1:9" s="57" customFormat="1" ht="12.75">
      <c r="A22" s="82"/>
      <c r="B22" s="33" t="s">
        <v>283</v>
      </c>
      <c r="C22" s="36">
        <v>801</v>
      </c>
      <c r="D22" s="36">
        <v>80104</v>
      </c>
      <c r="E22" s="78">
        <f>SUM(F22:G22)</f>
        <v>37000</v>
      </c>
      <c r="F22" s="78">
        <v>0</v>
      </c>
      <c r="G22" s="78">
        <f>SUM(H22:I22)</f>
        <v>37000</v>
      </c>
      <c r="H22" s="78">
        <v>37000</v>
      </c>
      <c r="I22" s="86"/>
    </row>
    <row r="23" spans="1:9" s="57" customFormat="1" ht="12.75">
      <c r="A23" s="82"/>
      <c r="B23" s="81"/>
      <c r="C23" s="83"/>
      <c r="D23" s="83"/>
      <c r="E23" s="78"/>
      <c r="F23" s="84"/>
      <c r="G23" s="78"/>
      <c r="H23" s="85"/>
      <c r="I23" s="259"/>
    </row>
    <row r="24" spans="1:9" s="57" customFormat="1" ht="38.25">
      <c r="A24" s="1060">
        <v>6</v>
      </c>
      <c r="B24" s="1057" t="s">
        <v>503</v>
      </c>
      <c r="C24" s="83">
        <v>801</v>
      </c>
      <c r="D24" s="83">
        <v>80104</v>
      </c>
      <c r="E24" s="1058">
        <f>SUM(F24:G24)</f>
        <v>103000</v>
      </c>
      <c r="F24" s="539">
        <v>103000</v>
      </c>
      <c r="G24" s="1058">
        <f>SUM(H24:I24)</f>
        <v>0</v>
      </c>
      <c r="H24" s="1059"/>
      <c r="I24" s="259"/>
    </row>
    <row r="25" spans="1:9" s="57" customFormat="1" ht="12.75">
      <c r="A25" s="1060"/>
      <c r="B25" s="81"/>
      <c r="C25" s="83"/>
      <c r="D25" s="83"/>
      <c r="E25" s="78"/>
      <c r="F25" s="84"/>
      <c r="G25" s="78"/>
      <c r="H25" s="85"/>
      <c r="I25" s="259"/>
    </row>
    <row r="26" spans="1:9" s="57" customFormat="1" ht="38.25">
      <c r="A26" s="1060">
        <v>7</v>
      </c>
      <c r="B26" s="1057" t="s">
        <v>502</v>
      </c>
      <c r="C26" s="83">
        <v>801</v>
      </c>
      <c r="D26" s="83">
        <v>80104</v>
      </c>
      <c r="E26" s="1058">
        <f>SUM(F26:G26)</f>
        <v>35000</v>
      </c>
      <c r="F26" s="539">
        <v>35000</v>
      </c>
      <c r="G26" s="1058">
        <f>SUM(H26:I26)</f>
        <v>0</v>
      </c>
      <c r="H26" s="1059"/>
      <c r="I26" s="259"/>
    </row>
    <row r="27" spans="1:9" s="57" customFormat="1" ht="12.75">
      <c r="A27" s="1060"/>
      <c r="B27" s="81"/>
      <c r="C27" s="83"/>
      <c r="D27" s="83"/>
      <c r="E27" s="78"/>
      <c r="F27" s="84"/>
      <c r="G27" s="78"/>
      <c r="H27" s="85"/>
      <c r="I27" s="259"/>
    </row>
    <row r="28" spans="1:9" s="57" customFormat="1" ht="42" customHeight="1">
      <c r="A28" s="1060">
        <v>8</v>
      </c>
      <c r="B28" s="1057" t="s">
        <v>602</v>
      </c>
      <c r="C28" s="83">
        <v>801</v>
      </c>
      <c r="D28" s="83">
        <v>80104</v>
      </c>
      <c r="E28" s="1058">
        <f>SUM(F28:G28)</f>
        <v>68000</v>
      </c>
      <c r="F28" s="539">
        <v>68000</v>
      </c>
      <c r="G28" s="1058">
        <f>SUM(H28:I28)</f>
        <v>0</v>
      </c>
      <c r="H28" s="1059"/>
      <c r="I28" s="259"/>
    </row>
    <row r="29" spans="1:9" s="57" customFormat="1" ht="12.75">
      <c r="A29" s="82"/>
      <c r="B29" s="81"/>
      <c r="C29" s="83"/>
      <c r="D29" s="83"/>
      <c r="E29" s="78"/>
      <c r="F29" s="84"/>
      <c r="G29" s="78"/>
      <c r="H29" s="85"/>
      <c r="I29" s="259"/>
    </row>
    <row r="30" spans="1:9" ht="12.75">
      <c r="A30" s="32">
        <v>9</v>
      </c>
      <c r="B30" s="33" t="s">
        <v>287</v>
      </c>
      <c r="C30" s="36"/>
      <c r="D30" s="36"/>
      <c r="E30" s="78"/>
      <c r="F30" s="78"/>
      <c r="G30" s="78"/>
      <c r="H30" s="79"/>
      <c r="I30" s="80"/>
    </row>
    <row r="31" spans="1:9" ht="12.75">
      <c r="A31" s="32"/>
      <c r="B31" s="33" t="s">
        <v>282</v>
      </c>
      <c r="C31" s="36"/>
      <c r="D31" s="36"/>
      <c r="E31" s="78"/>
      <c r="F31" s="78"/>
      <c r="G31" s="78"/>
      <c r="H31" s="79"/>
      <c r="I31" s="80"/>
    </row>
    <row r="32" spans="1:9" ht="12.75">
      <c r="A32" s="32"/>
      <c r="B32" s="33" t="s">
        <v>284</v>
      </c>
      <c r="C32" s="36">
        <v>801</v>
      </c>
      <c r="D32" s="36">
        <v>80105</v>
      </c>
      <c r="E32" s="78">
        <f>SUM(F32:G32)</f>
        <v>32000</v>
      </c>
      <c r="F32" s="78"/>
      <c r="G32" s="78">
        <f>SUM(H32:I32)</f>
        <v>32000</v>
      </c>
      <c r="H32" s="79">
        <v>32000</v>
      </c>
      <c r="I32" s="80"/>
    </row>
    <row r="33" spans="1:9" ht="12.75">
      <c r="A33" s="32"/>
      <c r="B33" s="33"/>
      <c r="C33" s="36"/>
      <c r="D33" s="36"/>
      <c r="E33" s="78"/>
      <c r="F33" s="78"/>
      <c r="G33" s="78"/>
      <c r="H33" s="79"/>
      <c r="I33" s="80"/>
    </row>
    <row r="34" spans="1:9" ht="12.75">
      <c r="A34" s="32">
        <v>10</v>
      </c>
      <c r="B34" s="33" t="s">
        <v>287</v>
      </c>
      <c r="C34" s="36"/>
      <c r="D34" s="36"/>
      <c r="E34" s="78"/>
      <c r="F34" s="78"/>
      <c r="G34" s="78"/>
      <c r="H34" s="79"/>
      <c r="I34" s="80"/>
    </row>
    <row r="35" spans="1:9" ht="12" customHeight="1">
      <c r="A35" s="32"/>
      <c r="B35" s="151" t="s">
        <v>285</v>
      </c>
      <c r="C35" s="36"/>
      <c r="D35" s="36"/>
      <c r="E35" s="78"/>
      <c r="F35" s="78"/>
      <c r="G35" s="78"/>
      <c r="H35" s="79"/>
      <c r="I35" s="80"/>
    </row>
    <row r="36" spans="1:9" ht="12" customHeight="1">
      <c r="A36" s="32"/>
      <c r="B36" s="33" t="s">
        <v>286</v>
      </c>
      <c r="C36" s="36">
        <v>851</v>
      </c>
      <c r="D36" s="36">
        <v>85154</v>
      </c>
      <c r="E36" s="78">
        <f>SUM(F36:G36)</f>
        <v>30000</v>
      </c>
      <c r="F36" s="78"/>
      <c r="G36" s="78">
        <f>SUM(H36:I36)</f>
        <v>30000</v>
      </c>
      <c r="H36" s="79">
        <v>30000</v>
      </c>
      <c r="I36" s="80"/>
    </row>
    <row r="37" spans="1:9" ht="13.5" thickBot="1">
      <c r="A37" s="317"/>
      <c r="B37" s="33"/>
      <c r="C37" s="36"/>
      <c r="D37" s="36"/>
      <c r="E37" s="78"/>
      <c r="F37" s="78"/>
      <c r="G37" s="78"/>
      <c r="H37" s="767"/>
      <c r="I37" s="80"/>
    </row>
    <row r="38" spans="1:9" ht="12.75">
      <c r="A38" s="261"/>
      <c r="B38" s="53"/>
      <c r="C38" s="53"/>
      <c r="D38" s="53"/>
      <c r="E38" s="262"/>
      <c r="F38" s="262"/>
      <c r="G38" s="262"/>
      <c r="H38" s="262"/>
      <c r="I38" s="263"/>
    </row>
    <row r="39" spans="1:9" ht="13.5" thickBot="1">
      <c r="A39" s="264"/>
      <c r="B39" s="265" t="s">
        <v>457</v>
      </c>
      <c r="C39" s="266" t="s">
        <v>117</v>
      </c>
      <c r="D39" s="266" t="s">
        <v>117</v>
      </c>
      <c r="E39" s="267">
        <f>SUM(E11,E18)</f>
        <v>3291300</v>
      </c>
      <c r="F39" s="267">
        <f>SUM(F11,F18)</f>
        <v>3192300</v>
      </c>
      <c r="G39" s="267">
        <f>SUM(G11,G18)</f>
        <v>99000</v>
      </c>
      <c r="H39" s="267">
        <f>SUM(H11,H18)</f>
        <v>99000</v>
      </c>
      <c r="I39" s="268">
        <f>SUM(I11,I18)</f>
        <v>0</v>
      </c>
    </row>
    <row r="41" spans="5:9" ht="12">
      <c r="E41" s="92"/>
      <c r="I41" s="92"/>
    </row>
    <row r="42" ht="12">
      <c r="I42" s="10"/>
    </row>
    <row r="47" ht="12">
      <c r="F47" s="696"/>
    </row>
  </sheetData>
  <sheetProtection/>
  <mergeCells count="12">
    <mergeCell ref="F7:F8"/>
    <mergeCell ref="G7:G8"/>
    <mergeCell ref="H1:I1"/>
    <mergeCell ref="A3:I3"/>
    <mergeCell ref="B5:B8"/>
    <mergeCell ref="C5:C8"/>
    <mergeCell ref="D5:D8"/>
    <mergeCell ref="E5:I5"/>
    <mergeCell ref="E6:E8"/>
    <mergeCell ref="A5:A8"/>
    <mergeCell ref="F6:I6"/>
    <mergeCell ref="H7:I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I16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5.375" style="10" bestFit="1" customWidth="1"/>
    <col min="2" max="2" width="45.00390625" style="10" customWidth="1"/>
    <col min="3" max="3" width="7.875" style="10" customWidth="1"/>
    <col min="4" max="4" width="9.75390625" style="10" bestFit="1" customWidth="1"/>
    <col min="5" max="5" width="11.25390625" style="10" customWidth="1"/>
    <col min="6" max="6" width="12.375" style="10" customWidth="1"/>
    <col min="7" max="7" width="14.125" style="59" customWidth="1"/>
    <col min="8" max="8" width="8.75390625" style="10" customWidth="1"/>
    <col min="9" max="16384" width="9.125" style="10" customWidth="1"/>
  </cols>
  <sheetData>
    <row r="1" spans="4:7" ht="46.5" customHeight="1">
      <c r="D1" s="28"/>
      <c r="E1" s="28"/>
      <c r="F1" s="1490" t="s">
        <v>631</v>
      </c>
      <c r="G1" s="1490"/>
    </row>
    <row r="3" spans="1:9" ht="80.25" customHeight="1">
      <c r="A3" s="1393" t="s">
        <v>591</v>
      </c>
      <c r="B3" s="1379"/>
      <c r="C3" s="1379"/>
      <c r="D3" s="1379"/>
      <c r="E3" s="1379"/>
      <c r="F3" s="1379"/>
      <c r="G3" s="1379"/>
      <c r="H3" s="1"/>
      <c r="I3" s="1"/>
    </row>
    <row r="4" spans="1:7" ht="15" thickBot="1">
      <c r="A4" s="13"/>
      <c r="B4" s="13"/>
      <c r="C4" s="13"/>
      <c r="D4" s="13"/>
      <c r="E4" s="13"/>
      <c r="F4" s="13"/>
      <c r="G4" s="56" t="s">
        <v>116</v>
      </c>
    </row>
    <row r="5" spans="1:7" ht="15" customHeight="1">
      <c r="A5" s="1484" t="s">
        <v>115</v>
      </c>
      <c r="B5" s="1491" t="s">
        <v>288</v>
      </c>
      <c r="C5" s="1486" t="s">
        <v>440</v>
      </c>
      <c r="D5" s="1486" t="s">
        <v>458</v>
      </c>
      <c r="E5" s="1495" t="s">
        <v>421</v>
      </c>
      <c r="F5" s="1496"/>
      <c r="G5" s="1497"/>
    </row>
    <row r="6" spans="1:7" ht="15" customHeight="1">
      <c r="A6" s="1500"/>
      <c r="B6" s="1492"/>
      <c r="C6" s="1494"/>
      <c r="D6" s="1494"/>
      <c r="E6" s="1498" t="s">
        <v>399</v>
      </c>
      <c r="F6" s="1504" t="s">
        <v>79</v>
      </c>
      <c r="G6" s="1505"/>
    </row>
    <row r="7" spans="1:7" ht="44.25" customHeight="1">
      <c r="A7" s="1485"/>
      <c r="B7" s="1493"/>
      <c r="C7" s="1487"/>
      <c r="D7" s="1487"/>
      <c r="E7" s="1499"/>
      <c r="F7" s="456" t="s">
        <v>314</v>
      </c>
      <c r="G7" s="457" t="s">
        <v>315</v>
      </c>
    </row>
    <row r="8" spans="1:7" ht="12.75" thickBot="1">
      <c r="A8" s="442">
        <v>1</v>
      </c>
      <c r="B8" s="443">
        <v>2</v>
      </c>
      <c r="C8" s="443">
        <v>3</v>
      </c>
      <c r="D8" s="443">
        <v>4</v>
      </c>
      <c r="E8" s="443">
        <v>5</v>
      </c>
      <c r="F8" s="443">
        <v>6</v>
      </c>
      <c r="G8" s="445">
        <v>7</v>
      </c>
    </row>
    <row r="9" spans="1:7" ht="12.75">
      <c r="A9" s="30"/>
      <c r="B9" s="33" t="s">
        <v>419</v>
      </c>
      <c r="C9" s="36"/>
      <c r="D9" s="36"/>
      <c r="E9" s="36"/>
      <c r="F9" s="37"/>
      <c r="G9" s="208"/>
    </row>
    <row r="10" spans="1:7" s="59" customFormat="1" ht="25.5">
      <c r="A10" s="538" t="s">
        <v>155</v>
      </c>
      <c r="B10" s="540" t="s">
        <v>434</v>
      </c>
      <c r="C10" s="541">
        <v>853</v>
      </c>
      <c r="D10" s="541">
        <v>85395</v>
      </c>
      <c r="E10" s="542">
        <f>SUM(F10:G10)</f>
        <v>75000</v>
      </c>
      <c r="F10" s="543">
        <v>75000</v>
      </c>
      <c r="G10" s="333"/>
    </row>
    <row r="11" spans="1:7" ht="13.5" thickBot="1">
      <c r="A11" s="538"/>
      <c r="B11" s="33"/>
      <c r="C11" s="33"/>
      <c r="D11" s="33"/>
      <c r="E11" s="78"/>
      <c r="F11" s="79"/>
      <c r="G11" s="80"/>
    </row>
    <row r="12" spans="1:7" ht="12.75">
      <c r="A12" s="261"/>
      <c r="B12" s="53"/>
      <c r="C12" s="53"/>
      <c r="D12" s="53"/>
      <c r="E12" s="262"/>
      <c r="F12" s="262"/>
      <c r="G12" s="263"/>
    </row>
    <row r="13" spans="1:7" ht="13.5" thickBot="1">
      <c r="A13" s="264"/>
      <c r="B13" s="265" t="s">
        <v>457</v>
      </c>
      <c r="C13" s="266" t="s">
        <v>117</v>
      </c>
      <c r="D13" s="266" t="s">
        <v>117</v>
      </c>
      <c r="E13" s="267">
        <f>SUM(E10:E11)</f>
        <v>75000</v>
      </c>
      <c r="F13" s="267">
        <f>SUM(F10:F12)</f>
        <v>75000</v>
      </c>
      <c r="G13" s="268">
        <f>SUM(G10:G11)</f>
        <v>0</v>
      </c>
    </row>
    <row r="15" ht="12">
      <c r="G15" s="92"/>
    </row>
    <row r="16" ht="12">
      <c r="G16" s="10"/>
    </row>
  </sheetData>
  <sheetProtection/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J15"/>
  <sheetViews>
    <sheetView showGridLines="0" view="pageBreakPreview" zoomScaleSheetLayoutView="100" zoomScalePageLayoutView="0" workbookViewId="0" topLeftCell="A1">
      <selection activeCell="C28" sqref="C28"/>
    </sheetView>
  </sheetViews>
  <sheetFormatPr defaultColWidth="9.00390625" defaultRowHeight="12"/>
  <cols>
    <col min="1" max="1" width="5.375" style="10" bestFit="1" customWidth="1"/>
    <col min="2" max="2" width="32.375" style="10" customWidth="1"/>
    <col min="3" max="3" width="44.375" style="10" customWidth="1"/>
    <col min="4" max="4" width="7.875" style="10" customWidth="1"/>
    <col min="5" max="5" width="9.75390625" style="10" bestFit="1" customWidth="1"/>
    <col min="6" max="6" width="11.25390625" style="10" customWidth="1"/>
    <col min="7" max="7" width="12.375" style="10" customWidth="1"/>
    <col min="8" max="8" width="14.125" style="59" customWidth="1"/>
    <col min="9" max="9" width="8.75390625" style="10" customWidth="1"/>
    <col min="10" max="16384" width="9.125" style="10" customWidth="1"/>
  </cols>
  <sheetData>
    <row r="1" spans="5:8" ht="46.5" customHeight="1">
      <c r="E1" s="28"/>
      <c r="F1" s="28"/>
      <c r="G1" s="1490" t="s">
        <v>632</v>
      </c>
      <c r="H1" s="1490"/>
    </row>
    <row r="3" spans="1:10" ht="40.5" customHeight="1">
      <c r="A3" s="1393" t="s">
        <v>55</v>
      </c>
      <c r="B3" s="1393"/>
      <c r="C3" s="1379"/>
      <c r="D3" s="1379"/>
      <c r="E3" s="1379"/>
      <c r="F3" s="1379"/>
      <c r="G3" s="1379"/>
      <c r="H3" s="1379"/>
      <c r="I3" s="1"/>
      <c r="J3" s="1"/>
    </row>
    <row r="4" spans="1:8" ht="15" thickBot="1">
      <c r="A4" s="13"/>
      <c r="B4" s="13"/>
      <c r="C4" s="13"/>
      <c r="D4" s="13"/>
      <c r="E4" s="13"/>
      <c r="F4" s="13"/>
      <c r="G4" s="13"/>
      <c r="H4" s="56" t="s">
        <v>116</v>
      </c>
    </row>
    <row r="5" spans="1:8" ht="15" customHeight="1">
      <c r="A5" s="1484" t="s">
        <v>115</v>
      </c>
      <c r="B5" s="1507" t="s">
        <v>342</v>
      </c>
      <c r="C5" s="1491" t="s">
        <v>324</v>
      </c>
      <c r="D5" s="1486" t="s">
        <v>440</v>
      </c>
      <c r="E5" s="1486" t="s">
        <v>458</v>
      </c>
      <c r="F5" s="1495" t="s">
        <v>421</v>
      </c>
      <c r="G5" s="1496"/>
      <c r="H5" s="1497"/>
    </row>
    <row r="6" spans="1:8" ht="15" customHeight="1">
      <c r="A6" s="1500"/>
      <c r="B6" s="1498"/>
      <c r="C6" s="1492"/>
      <c r="D6" s="1494"/>
      <c r="E6" s="1494"/>
      <c r="F6" s="1498" t="s">
        <v>399</v>
      </c>
      <c r="G6" s="1504" t="s">
        <v>79</v>
      </c>
      <c r="H6" s="1505"/>
    </row>
    <row r="7" spans="1:8" ht="44.25" customHeight="1">
      <c r="A7" s="1485"/>
      <c r="B7" s="1499"/>
      <c r="C7" s="1493"/>
      <c r="D7" s="1487"/>
      <c r="E7" s="1487"/>
      <c r="F7" s="1499"/>
      <c r="G7" s="456" t="s">
        <v>314</v>
      </c>
      <c r="H7" s="457" t="s">
        <v>315</v>
      </c>
    </row>
    <row r="8" spans="1:8" ht="12.75" thickBot="1">
      <c r="A8" s="442">
        <v>1</v>
      </c>
      <c r="B8" s="465">
        <v>2</v>
      </c>
      <c r="C8" s="443">
        <v>3</v>
      </c>
      <c r="D8" s="443">
        <v>4</v>
      </c>
      <c r="E8" s="443">
        <v>5</v>
      </c>
      <c r="F8" s="443">
        <v>6</v>
      </c>
      <c r="G8" s="443">
        <v>7</v>
      </c>
      <c r="H8" s="445">
        <v>8</v>
      </c>
    </row>
    <row r="9" spans="1:8" ht="12.75">
      <c r="A9" s="30"/>
      <c r="B9" s="732"/>
      <c r="C9" s="33" t="s">
        <v>419</v>
      </c>
      <c r="D9" s="36"/>
      <c r="E9" s="36"/>
      <c r="F9" s="36"/>
      <c r="G9" s="37"/>
      <c r="H9" s="208"/>
    </row>
    <row r="10" spans="1:8" s="340" customFormat="1" ht="13.5" thickBot="1">
      <c r="A10" s="538" t="s">
        <v>155</v>
      </c>
      <c r="B10" s="1294" t="s">
        <v>341</v>
      </c>
      <c r="C10" s="540" t="s">
        <v>134</v>
      </c>
      <c r="D10" s="1295">
        <v>600</v>
      </c>
      <c r="E10" s="1295">
        <v>60013</v>
      </c>
      <c r="F10" s="1296">
        <f>SUM(G10:H10)</f>
        <v>427407</v>
      </c>
      <c r="G10" s="1297"/>
      <c r="H10" s="1298">
        <v>427407</v>
      </c>
    </row>
    <row r="11" spans="1:8" ht="12.75">
      <c r="A11" s="261"/>
      <c r="B11" s="734"/>
      <c r="C11" s="53"/>
      <c r="D11" s="53"/>
      <c r="E11" s="53"/>
      <c r="F11" s="262"/>
      <c r="G11" s="262"/>
      <c r="H11" s="263"/>
    </row>
    <row r="12" spans="1:8" ht="13.5" thickBot="1">
      <c r="A12" s="264"/>
      <c r="B12" s="301"/>
      <c r="C12" s="265" t="s">
        <v>457</v>
      </c>
      <c r="D12" s="266" t="s">
        <v>117</v>
      </c>
      <c r="E12" s="266" t="s">
        <v>117</v>
      </c>
      <c r="F12" s="267">
        <f>SUM(F10:F10)</f>
        <v>427407</v>
      </c>
      <c r="G12" s="267">
        <f>SUM(G10:G11)</f>
        <v>0</v>
      </c>
      <c r="H12" s="268">
        <f>SUM(H10:H10)</f>
        <v>427407</v>
      </c>
    </row>
    <row r="14" ht="12">
      <c r="H14" s="92"/>
    </row>
    <row r="15" ht="12">
      <c r="H15" s="10"/>
    </row>
  </sheetData>
  <sheetProtection/>
  <mergeCells count="10">
    <mergeCell ref="G1:H1"/>
    <mergeCell ref="A3:H3"/>
    <mergeCell ref="C5:C7"/>
    <mergeCell ref="D5:D7"/>
    <mergeCell ref="E5:E7"/>
    <mergeCell ref="F5:H5"/>
    <mergeCell ref="F6:F7"/>
    <mergeCell ref="G6:H6"/>
    <mergeCell ref="A5:A7"/>
    <mergeCell ref="B5:B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2009-12-28T13:18:29Z</cp:lastPrinted>
  <dcterms:created xsi:type="dcterms:W3CDTF">2001-05-16T07:18:04Z</dcterms:created>
  <dcterms:modified xsi:type="dcterms:W3CDTF">2010-01-05T09:07:12Z</dcterms:modified>
  <cp:category/>
  <cp:version/>
  <cp:contentType/>
  <cp:contentStatus/>
</cp:coreProperties>
</file>