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Dochody - porozumienia" sheetId="2" r:id="rId2"/>
    <sheet name="Wydatki bieżące - własne" sheetId="3" r:id="rId3"/>
    <sheet name="Wydatki majątkowe - własne" sheetId="4" r:id="rId4"/>
    <sheet name="Wydatki majątkowe -porozumienia" sheetId="5" r:id="rId5"/>
    <sheet name="Wydatki majątkowe -pomoc finans" sheetId="6" r:id="rId6"/>
    <sheet name="Przychody i rozchody" sheetId="7" r:id="rId7"/>
    <sheet name="Plan finansowy ZOiSOK" sheetId="8" r:id="rId8"/>
    <sheet name="Zakłady budżetowe-dotacje" sheetId="9" r:id="rId9"/>
    <sheet name="Dotacje celowe - pozostałe" sheetId="10" r:id="rId10"/>
    <sheet name="Dotacje celowe-pomoc" sheetId="11" r:id="rId11"/>
    <sheet name="Fundusze pomocowe" sheetId="12" r:id="rId12"/>
    <sheet name="GFOŚiGW" sheetId="13" r:id="rId13"/>
    <sheet name="Wieloletni-2009" sheetId="14" r:id="rId14"/>
  </sheets>
  <definedNames>
    <definedName name="_xlnm.Print_Area" localSheetId="1">'Dochody - porozumienia'!$A$1:$J$16</definedName>
    <definedName name="_xlnm.Print_Area" localSheetId="0">'Dochody - własne'!$A$1:$J$32</definedName>
    <definedName name="_xlnm.Print_Area" localSheetId="9">'Dotacje celowe - pozostałe'!$A$1:$M$22</definedName>
    <definedName name="_xlnm.Print_Area" localSheetId="11">'Fundusze pomocowe'!$A$1:$O$115</definedName>
    <definedName name="_xlnm.Print_Area" localSheetId="12">'GFOŚiGW'!$A$1:$C$57</definedName>
    <definedName name="_xlnm.Print_Area" localSheetId="7">'Plan finansowy ZOiSOK'!$A$1:$P$13</definedName>
    <definedName name="_xlnm.Print_Area" localSheetId="13">'Wieloletni-2009'!$A$1:$P$187</definedName>
    <definedName name="_xlnm.Print_Area" localSheetId="2">'Wydatki bieżące - własne'!$A$1:$M$51</definedName>
    <definedName name="_xlnm.Print_Area" localSheetId="3">'Wydatki majątkowe - własne'!$A$1:$E$52</definedName>
    <definedName name="_xlnm.Print_Area" localSheetId="5">'Wydatki majątkowe -pomoc finans'!$A$1:$E$22</definedName>
    <definedName name="_xlnm.Print_Area" localSheetId="4">'Wydatki majątkowe -porozumienia'!$A$1:$E$16</definedName>
    <definedName name="_xlnm.Print_Area" localSheetId="8">'Zakłady budżetowe-dotacje'!$A$1:$H$16</definedName>
  </definedNames>
  <calcPr fullCalcOnLoad="1" fullPrecision="0"/>
</workbook>
</file>

<file path=xl/sharedStrings.xml><?xml version="1.0" encoding="utf-8"?>
<sst xmlns="http://schemas.openxmlformats.org/spreadsheetml/2006/main" count="914" uniqueCount="369">
  <si>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</si>
  <si>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</si>
  <si>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</si>
  <si>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</si>
  <si>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</si>
  <si>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</si>
  <si>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</si>
  <si>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</si>
  <si>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</si>
  <si>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</si>
  <si>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</si>
  <si>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</si>
  <si>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</si>
  <si>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</si>
  <si>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</si>
  <si>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</si>
  <si>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</si>
  <si>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</si>
  <si>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</si>
  <si>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PLAN WYDATKÓW MAJĄTKOWYCH ZWIĄZANYCH Z REALIZACJĄ ZADAŃ WŁASNYCH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</si>
  <si>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</si>
  <si>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</si>
  <si>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</si>
  <si>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</si>
  <si>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</si>
  <si>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</si>
  <si>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</si>
  <si>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Prognozowane nakłady w latach następnych</t>
  </si>
  <si>
    <t>Od</t>
  </si>
  <si>
    <t>Do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</si>
  <si>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</si>
  <si>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</si>
  <si>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</si>
  <si>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</si>
  <si>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</si>
  <si>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</si>
  <si>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Budowa ścieżek rowerowych</t>
  </si>
  <si>
    <t>Wydz.GKM</t>
  </si>
  <si>
    <t>środki pomocowe</t>
  </si>
  <si>
    <t>Modernizacja ul.Wyszyńskiego w Policach</t>
  </si>
  <si>
    <t>inne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</si>
  <si>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</si>
  <si>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</si>
  <si>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</si>
  <si>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</si>
  <si>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Budowa budynku socjalnego przy ul. Niedziałkowskiego 12 
w Policach</t>
  </si>
  <si>
    <t>ADMINISTRACJA PUBLICZNA</t>
  </si>
  <si>
    <t>Wydz. UA</t>
  </si>
  <si>
    <t>BEZPIECZEŃSTWO PUBLICZNE</t>
  </si>
  <si>
    <t>Przebudowa remizy OSP w Trzebieży</t>
  </si>
  <si>
    <t>TRANSGRANICZNA OCHRONA   ZASOBÓW  WÓD PODZIEMNYCH</t>
  </si>
  <si>
    <t>Budowa sieci kanalizacji sanitarnej i deszczowej oraz sieci wodociągowej w ul. Polnej w Trzebieży</t>
  </si>
  <si>
    <t>OCHRONA ŚRODOWISKA</t>
  </si>
  <si>
    <t>Rozbudowa i modernizacja instalacji Zakładu Odzysku i Składowania Odpadów Komunalnych w Leśnie Górnym</t>
  </si>
  <si>
    <t>ZOiSOK</t>
  </si>
  <si>
    <t>BUDOWA OŚWIETLENIA ULICZNEGO</t>
  </si>
  <si>
    <t>Oświetlenie w miejscowości Węgornik</t>
  </si>
  <si>
    <t>Oświetlenie drogi pomiędzy Drogoradzem a Uniemyślem</t>
  </si>
  <si>
    <t>GOSPODARKA ZASOBAMI KOMUNALNYMI</t>
  </si>
  <si>
    <t>Przebudowa Parku "Staromiejskiego" w Policach</t>
  </si>
  <si>
    <t>Termomodernizacja obiektów użyteczności publicznej</t>
  </si>
  <si>
    <t>KULTURA I OCHRONA DZIEDZICTWA NARODOWEGO</t>
  </si>
  <si>
    <t>Modernizacja budynku MOK przy ul. Siedleckiej w Policach</t>
  </si>
  <si>
    <t xml:space="preserve">POPRAWA WARUNKÓW DZIAŁALNOŚCI SAMORZĄDÓW WIEJSKICH I OSIEDLOWYCH </t>
  </si>
  <si>
    <t>Budowa świetlicy wiejskiej w Trzeszczynie</t>
  </si>
  <si>
    <t>Przebudowa świetlicy wiejskiej w Uniemyślu</t>
  </si>
  <si>
    <t>NAKŁADY  OGÓŁEM, W TYM:</t>
  </si>
  <si>
    <t>ŚRODKI BUDŻETOWE</t>
  </si>
  <si>
    <t>ŚRODKI POMOCOWE</t>
  </si>
  <si>
    <t>INNE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</si>
  <si>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</si>
  <si>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</si>
  <si>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</si>
  <si>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</si>
  <si>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</si>
  <si>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</si>
  <si>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</si>
  <si>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</si>
  <si>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</si>
  <si>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</si>
  <si>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</si>
  <si>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</si>
  <si>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</si>
  <si>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</si>
  <si>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</si>
  <si>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</si>
  <si>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</si>
  <si>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OGÓŁEM:</t>
  </si>
  <si>
    <t>inne środki</t>
  </si>
  <si>
    <t>Wydział UA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</si>
  <si>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</si>
  <si>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</si>
  <si>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</si>
  <si>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Gimnazjum nr 3 
w Policach</t>
  </si>
  <si>
    <t>"Święto Szkoły"</t>
  </si>
  <si>
    <t>Program Operacyjny Kapitał Ludzki</t>
  </si>
  <si>
    <t>"Skrzydła dla najmłodszych - wyrównywanie szans w dostępie do edukacji przedszkolnej 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</si>
  <si>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</si>
  <si>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</si>
  <si>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</si>
  <si>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</si>
  <si>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</si>
  <si>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11.</t>
  </si>
  <si>
    <t>"Łatwiejszy dostęp do edukacji poprzez kurs języka niemieckiego w Tanowie" 
nr projektu POKL/1/9.5/94-2/07</t>
  </si>
  <si>
    <t>12.</t>
  </si>
  <si>
    <t>"Nauka języka angielskiego szansą podnoszenia poziomu wykształcenia i kwalifikacji" 
nr projektu POKL/1/9.5/95-2/07</t>
  </si>
  <si>
    <t>13.</t>
  </si>
  <si>
    <t>"Edukacja i kultura w Pilchowie - teatr i literatura bez tajemnic" 
nr projektu POKL/1/9.5/96-1/07</t>
  </si>
  <si>
    <t>14.</t>
  </si>
  <si>
    <t>"Łatwiejszy dostęp do edukacji poprzez  kurs języka niemieckiego w Trzebieży" 
nr projektu POKL/1/9.5/97-2/07</t>
  </si>
  <si>
    <t>15.</t>
  </si>
  <si>
    <t>"Język angielski szansą zdobycia lepszego wykształcenia w Drogoradzu" 
nr projektu POKL/1/9.5/98-2/07</t>
  </si>
  <si>
    <t>16.</t>
  </si>
  <si>
    <t>"Dostęp do edukacji na wsi - dziennikarstwo, literatura i język polski" 
nr projektu POKL/1/9.5/99-1/07</t>
  </si>
  <si>
    <t>17.</t>
  </si>
  <si>
    <t>"Język angielski szansą lepszego wykształcenia w Przęsocinie" 
nr projektu POKL/1/9.5/100-2/07</t>
  </si>
  <si>
    <t>18.</t>
  </si>
  <si>
    <t>"Język angielski - lepsze wykształcenie, lepsze kwalifikacje, lepsza przyszłość" 
nr projektu POKL/1/9.5/101-2/07</t>
  </si>
  <si>
    <t>19.</t>
  </si>
  <si>
    <t>"Język angielski - lepszy start, lepsze jutro" 
nr projektu POKL/1/9.5/233/08</t>
  </si>
  <si>
    <t>20.</t>
  </si>
  <si>
    <t>Wydział TI</t>
  </si>
  <si>
    <t>21.</t>
  </si>
  <si>
    <t>Program Operacyjny Infrastruktura 
i Środowisko</t>
  </si>
  <si>
    <t>22.</t>
  </si>
  <si>
    <t>23.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</si>
  <si>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</si>
  <si>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</si>
  <si>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</si>
  <si>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24.</t>
  </si>
  <si>
    <t>Program Rozwoju Obszarów Wiejskich</t>
  </si>
  <si>
    <t>25.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</si>
  <si>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</si>
  <si>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</si>
  <si>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</si>
  <si>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</si>
  <si>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Odprowadzenie ścieków i wód opadowych z rejonu 
ul. Tanowskiej w Policach i miejscowości Trzeszczyn</t>
  </si>
  <si>
    <t>Rozbudowa sieci kanalizacji sanitarnej i deszczowej 
w Pilchowie</t>
  </si>
  <si>
    <t>Budowa kanalizacji sanitarnej i deszczowej w ul. J.Kochanowskiego, Galla Anonima, M.Reja, W.Kadłubka 
i Wkrzańskiej w Policach.</t>
  </si>
  <si>
    <t>Rozbudowa i modernizacja instalacji Zakładu Odzysku 
i Składowania Odpadów Komunalnych w Leśnie Górnym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</si>
  <si>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</si>
  <si>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</si>
  <si>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</si>
  <si>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</si>
  <si>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</si>
  <si>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</si>
  <si>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</si>
  <si>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Dodatkowe punkty oświetleniowe w m. Siedlice</t>
  </si>
  <si>
    <t>26.</t>
  </si>
  <si>
    <t>Fundacja Współpracy Polsko-Niemieckiej</t>
  </si>
  <si>
    <t>"Treibsand” – koniec wojny w oczach byłych mieszkańców Jasienicy</t>
  </si>
  <si>
    <t>Rozbudowa Miejskiej Przystani Żeglarskiej w Policach 
przy ul. Konopnickiej 12</t>
  </si>
  <si>
    <t>OSiR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</si>
  <si>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</si>
  <si>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</si>
  <si>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</si>
  <si>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z tego:</t>
  </si>
  <si>
    <t>dochody bieżące</t>
  </si>
  <si>
    <t>dochody majątkowe</t>
  </si>
  <si>
    <t>Pozostała działalność</t>
  </si>
  <si>
    <t>OŚWIATA I WYCHOWANIE</t>
  </si>
  <si>
    <t>GOSPODARKA KOMUNALNA I OCHRONA ŚRODOWISKA</t>
  </si>
  <si>
    <t>6260</t>
  </si>
  <si>
    <t>Dotacje otrzymane z funduszy celowych na finansowanie lub dofinansowanie kosztów realizacji inwestycji i zakupów inwestycyjnych jednostek sektora finansów publicznych</t>
  </si>
  <si>
    <t>wydatki majątkowe</t>
  </si>
  <si>
    <t>Dostarczanie wody</t>
  </si>
  <si>
    <t>Gospodarka ściekowa i ochrona wód</t>
  </si>
  <si>
    <t>Gospodarka odpadami</t>
  </si>
  <si>
    <t>"Pobudka - obudź swój potencjał"</t>
  </si>
  <si>
    <t>Ośrodek Pomocy Społecznej w Policach</t>
  </si>
  <si>
    <t>TRANSPORT I ŁĄCZNOŚĆ</t>
  </si>
  <si>
    <t>Lokalny transport zbiorowy</t>
  </si>
  <si>
    <t>Drogi publiczne gminne</t>
  </si>
  <si>
    <t>GOSPODARKA MIESZKANIOWA</t>
  </si>
  <si>
    <t>Zakłady gospodarki mieszkaniowej</t>
  </si>
  <si>
    <t>Gospodarka gruntami i nieruchomościami</t>
  </si>
  <si>
    <t>Oddziały przedszkolne w szkołach podstawowych</t>
  </si>
  <si>
    <t>Przedszkola</t>
  </si>
  <si>
    <t>0770</t>
  </si>
  <si>
    <t>Wpłaty z tytułu odpłatnego nabycia prawa własności oraz prawa użytkowania wieczystego nieruchomości</t>
  </si>
  <si>
    <t>Domy i ośrodki kultury, świetlice i kluby</t>
  </si>
  <si>
    <t>PLAN DOCHODÓW ZWIĄZANYCH Z REALIZACJĄ ZADAŃ WYKONYWANYCH NA PODSTAWIE POROZUMIEŃ (UMÓW) 
MIĘDZY JEDNOSTKAMI SAMORZĄDU TERYTORIALNEGO</t>
  </si>
  <si>
    <t>Drogi publiczne powiatowe</t>
  </si>
  <si>
    <t>saldo</t>
  </si>
  <si>
    <t>DZIAŁALNOŚĆ USŁUGOWA</t>
  </si>
  <si>
    <t>Opracowania geodezyjne i kartograficzne</t>
  </si>
  <si>
    <t>Promocja jednostek samorządu terytorialnego</t>
  </si>
  <si>
    <t>EDUKACYJNA OPIEKA WYCHOWAWCZA</t>
  </si>
  <si>
    <t>Pomoc materialna dla uczniów</t>
  </si>
  <si>
    <t>Biblioteki</t>
  </si>
  <si>
    <t>Ochrona zabytków i opieka nad zabytkami</t>
  </si>
  <si>
    <t>WYTWARZANIE I ZAOPATRYWANIE W ENERGIĘ ELEKTRYCZNĄ, GAZ I WODĘ</t>
  </si>
  <si>
    <t>Oświetlenie ulic, placów i dróg</t>
  </si>
  <si>
    <t>PLAN WYDATKÓW MAJĄTKOWYCH ZWIĄZANYCH Z REALIZACJĄ ZADAŃ WYKONYWANYCH NA PODSTAWIE POROZUMIEŃ (UMÓW) MIĘDZY JEDNOSTKAMI SAMORZĄDU TERYTORIALNEGO</t>
  </si>
  <si>
    <t>Drogi publiczne wojewódzkie</t>
  </si>
  <si>
    <t>wydatki bieżące własne</t>
  </si>
  <si>
    <t>wydatki własne</t>
  </si>
  <si>
    <t>PRZYCHODY I ROZCHODY BUDŻETU GMINY W 2009 ROKU</t>
  </si>
  <si>
    <t>Treść</t>
  </si>
  <si>
    <t>Klasyfikacja
§</t>
  </si>
  <si>
    <t>Przychody ogółem:</t>
  </si>
  <si>
    <t>Przychody z zaciągniętych pożyczek i kredytów na rynku krajowym</t>
  </si>
  <si>
    <t>§ 952</t>
  </si>
  <si>
    <t>Nadwyżka budżetu z lat ubiegłych</t>
  </si>
  <si>
    <t>§ 957</t>
  </si>
  <si>
    <t>Rozchody ogółem:</t>
  </si>
  <si>
    <t>§ 992</t>
  </si>
  <si>
    <t>Plan</t>
  </si>
  <si>
    <t>Plan po zmianach</t>
  </si>
  <si>
    <t>Przychody z tytułu innych rozliczeń krajowych (wolne środki)</t>
  </si>
  <si>
    <t>§ 955</t>
  </si>
  <si>
    <t>Zakład Gospodarki Komunalnej 
i Mieszkaniowej w Policach</t>
  </si>
  <si>
    <t>RAZEM</t>
  </si>
  <si>
    <t>Poz.</t>
  </si>
  <si>
    <t xml:space="preserve"> </t>
  </si>
  <si>
    <t>Dotacje podmiotowe 
na wydatki bieżące</t>
  </si>
  <si>
    <t>Biblioteka im. M. Skłodowskiej-Curie</t>
  </si>
  <si>
    <t>w Policach</t>
  </si>
  <si>
    <t>x</t>
  </si>
  <si>
    <t>Zadania w zakresie upowszechniania turystyki</t>
  </si>
  <si>
    <t>DOTACJE CELOWE NA POMOC FINANSOWĄ 
INNYM JEDNOSTKOM SAMORZĄDU TERYTORIALNEGO W 2009 ROKU</t>
  </si>
  <si>
    <t>Jednostka 
samorządu terytorialnego</t>
  </si>
  <si>
    <t>Nazwa zadania</t>
  </si>
  <si>
    <t>Dotacje</t>
  </si>
  <si>
    <t>na wydatki bieżące</t>
  </si>
  <si>
    <t>na wydatki inwestycyjne</t>
  </si>
  <si>
    <t>Województwo Zachodniopomorskie</t>
  </si>
  <si>
    <t>Studium wykonalności obwodnicy Szczecina</t>
  </si>
  <si>
    <t>Powiat Policki</t>
  </si>
  <si>
    <t>DOTACJE DLA ZAKŁADÓW BUDŻETOWYCH W 2009 ROKU</t>
  </si>
  <si>
    <t>POZOSTAŁE DOTACJE NA ZADANIA PUBLICZNE W 2009 ROKU</t>
  </si>
  <si>
    <t>Zmiany
(zwiększenia)</t>
  </si>
  <si>
    <t>Remont pływalni przy ul. Siedleckiej w Policach</t>
  </si>
  <si>
    <t>Dotacje podmiotowe z budżetu 
na wydatki bieżące</t>
  </si>
  <si>
    <t>Wydział Oświaty i Kultury</t>
  </si>
  <si>
    <t>Nazwa zakładu budżetowego/
dysponenta środków</t>
  </si>
  <si>
    <t>6208</t>
  </si>
  <si>
    <t>Dotacje rozwojowe</t>
  </si>
  <si>
    <t>Zakład Odzysku i Składowania Odpadów Komunalnych w Leśnie Górnym</t>
  </si>
  <si>
    <t>Dotacje celowe z budżetu 
na inwestycje</t>
  </si>
  <si>
    <t>"Wigilijne spotkanie"</t>
  </si>
  <si>
    <t>"De coupage"</t>
  </si>
  <si>
    <t>Plan 
po zmianach</t>
  </si>
  <si>
    <t>PLAN WYDATKÓW MAJĄTKOWYCH NA POMOC FINANSOWĄ INNYM JEDNOSTKOM SAMORZĄDU TERYTORIALNEGO</t>
  </si>
  <si>
    <t>Gmina Kamień Pomorski</t>
  </si>
  <si>
    <t>Budowa lokali socjalnych dla poszkodowanych 
w pożarze przy ul. Wolińskiej w Kamieniu Pomorskim</t>
  </si>
  <si>
    <t>Docieplenie ścian budynku przy ul. Szkolnej 2 
w Policach</t>
  </si>
  <si>
    <t>Budowa sieci kanalizacji sanitarnej i deszczowej oraz sieci wodociągowej w ul. Brzoskwiniowej, Wiśniowej i Czereśniowej 
w Policach</t>
  </si>
  <si>
    <t>Urzędy gmin (miast i miast na prawach powiatu)</t>
  </si>
  <si>
    <t>6298</t>
  </si>
  <si>
    <t>Środki na dofinansowanie własnych inwestycji gmin (związków gmin), powiatów (związków powiatów), samorządów województw, pozyskane z innych źródeł</t>
  </si>
  <si>
    <t>2440</t>
  </si>
  <si>
    <t>Utrzymanie zieleni w miastach i gminach</t>
  </si>
  <si>
    <t>Dotacje otrzymane z funduszy celowych na realizację zadań bieżących jednostek sektora finansów publicznych</t>
  </si>
  <si>
    <t>6269</t>
  </si>
  <si>
    <t>6620</t>
  </si>
  <si>
    <t>Dotacje celowe otrzymane z powiatu na inwestycje i zakupy inwestycyjne realizowane na podstawie porozumień (umów) między jednostkami samorządu terytorialnego</t>
  </si>
  <si>
    <t>Plany zagospodarowania przestrzennego</t>
  </si>
  <si>
    <t>OBSŁUGA DŁUGU PUBLICZNEGO</t>
  </si>
  <si>
    <t>Obsługa papierów wartościowych, kredytów i pożyczek jednostek samorządu terytorialnego</t>
  </si>
  <si>
    <t>TURYSTYKA</t>
  </si>
  <si>
    <t>zmiany na majątkowych razem</t>
  </si>
  <si>
    <t>wydatki pomoc finansowa</t>
  </si>
  <si>
    <t>wydatki porozumienia</t>
  </si>
  <si>
    <t>ogółem zmiany na wydatkach</t>
  </si>
  <si>
    <t>kredyt</t>
  </si>
  <si>
    <t>Zmiany 
(zmniejszenia)</t>
  </si>
  <si>
    <t>Spłaty otrzymanych krajowych pożyczek 
i kredytów</t>
  </si>
  <si>
    <t>`</t>
  </si>
  <si>
    <t>PLAN PRZYCHODÓW I WYDATKÓW ORAZ PLANOWANE DOTACJE DLA ZAKŁADÓW BUDŻETOWYCH W 2009 ROKU</t>
  </si>
  <si>
    <t>Nazwa zakładu budżetowego</t>
  </si>
  <si>
    <t>Środki obrotowe na początek roku</t>
  </si>
  <si>
    <t>Przychody</t>
  </si>
  <si>
    <t>Wydatki</t>
  </si>
  <si>
    <t>Środki obrotowe na koniec roku</t>
  </si>
  <si>
    <t>własne</t>
  </si>
  <si>
    <t xml:space="preserve">bieżące </t>
  </si>
  <si>
    <t>podmiotowa z budżetu na wydatki bieżące</t>
  </si>
  <si>
    <t>przedmiotowa z budżetu na wydatki bieżące</t>
  </si>
  <si>
    <t xml:space="preserve">celowa
z budżetu
na inwestycje </t>
  </si>
  <si>
    <t>majątkowe</t>
  </si>
  <si>
    <t>wpłata do budżetu</t>
  </si>
  <si>
    <t>RAZEM ZAKŁADY BUDŻETOWE</t>
  </si>
  <si>
    <t>Załącznik nr 8</t>
  </si>
  <si>
    <t>Szkoła Podstawowa nr 3 w Policach</t>
  </si>
  <si>
    <t>Dotacje celowe
na wydatki bieżące</t>
  </si>
  <si>
    <t>Dotacje celowe
na wydatki inwestycyjne</t>
  </si>
  <si>
    <t>Miejski Ośrodek Kultury w Policach</t>
  </si>
  <si>
    <t xml:space="preserve">Gmina Miasto Szczecin - dotacja </t>
  </si>
  <si>
    <t xml:space="preserve">z tytułu uczęszczania dzieci z Gminy Police </t>
  </si>
  <si>
    <t>do przedszkoli niepublicznych w Szczecinie</t>
  </si>
  <si>
    <t>Zmiany
(-/+)</t>
  </si>
  <si>
    <t>Budowa parkingu przy ul. Piastów w Policach</t>
  </si>
  <si>
    <t>Gmina Choszczno</t>
  </si>
  <si>
    <t>Projekt modelowy "4x3 prosta sprawa" 
- projekt Wystawa plastyczno-fotograficzna "Znaki współpracy"</t>
  </si>
  <si>
    <t>Gimnazjum nr 1 
w Policach</t>
  </si>
  <si>
    <t>"Puszcza Wkrzańska jako obszar turystyczno-rekreacyjny dla powiatów przygranicznych Uecker-Randow i Polic"</t>
  </si>
  <si>
    <t>Przebudowa wiaduktu drogowego przy ul. Piotra i Pawła 
w Policach</t>
  </si>
  <si>
    <t>Przebudowa ul. Piaskowej w Policach</t>
  </si>
  <si>
    <t>Budowa Polickiego Systemu Informacji Przestrzennej GIS</t>
  </si>
  <si>
    <t>Budowa utwardzonego placu na prowadzenie działalności usługowej przy cmentarzu komunalnym w Policach</t>
  </si>
  <si>
    <t>Budowa świetlicy wiejskiej w m. Wieńkowo</t>
  </si>
  <si>
    <t>6330</t>
  </si>
  <si>
    <t>Dotacje celowe otrzymane z budżetu państwa na realizację inwestycji i zakupów inwestycyjnych własnych gmin (związków gmin)</t>
  </si>
  <si>
    <t>Budowa mieszkalnego budynku socjalnego dla poszkodowanych w pożarze przy ul. Matejki 
w Choszcznie</t>
  </si>
  <si>
    <t>PLAN PRZYCHODÓW I WYDATKÓW 
GMINNEGO FUNDUSZU OCHRONY ŚRODOWISKA I GOSPODARKI WODNEJ 
NA 2009 ROK</t>
  </si>
  <si>
    <t>Dział 900                             Rozdział 90011</t>
  </si>
  <si>
    <t>Wyszczególnienie</t>
  </si>
  <si>
    <t>Plan na 2009 r.</t>
  </si>
  <si>
    <t>I.</t>
  </si>
  <si>
    <t>STAN FUNDUSZU NA POCZĄTEK ROKU</t>
  </si>
  <si>
    <t>Środki finansowe pozostałe z 2008 r.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</si>
  <si>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</si>
  <si>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</si>
  <si>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</si>
  <si>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</si>
  <si>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</si>
  <si>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</si>
  <si>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</si>
  <si>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</si>
  <si>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III.</t>
  </si>
  <si>
    <t xml:space="preserve"> WYDATKI </t>
  </si>
  <si>
    <t>wydatki bieżące</t>
  </si>
  <si>
    <t xml:space="preserve">Utrzymanie zieleni </t>
  </si>
  <si>
    <t>Ochrona powietrza atmosferycznego i klimatu</t>
  </si>
  <si>
    <t>Opieka nad zwierzętami</t>
  </si>
  <si>
    <t>Edukacja ekologiczna</t>
  </si>
  <si>
    <t>Melioracje</t>
  </si>
  <si>
    <t>Inne zadania</t>
  </si>
  <si>
    <t>Różne rozliczenia finansowe</t>
  </si>
  <si>
    <t>IV</t>
  </si>
  <si>
    <t>STAN FUNDUSZU NA KONIEC ROKU</t>
  </si>
  <si>
    <t>Środki finansowe pozostałe z 2009 r.</t>
  </si>
  <si>
    <t>Wydz. GKM</t>
  </si>
  <si>
    <t>20% - Rządowy Program wsparcia finansowego z Funduszu Dopłat tworzenia lokali socjalnych, mieszkań chronionych, noclegowni i domów dla bezdomnych</t>
  </si>
  <si>
    <t>VAT - niekwalifikowalny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</si>
  <si>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</si>
  <si>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</si>
  <si>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</si>
  <si>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EDUKACJA  EKOLOGICZNA</t>
  </si>
  <si>
    <r>
      <t xml:space="preserve">50%                        </t>
    </r>
    <r>
      <rPr>
        <sz val="10"/>
        <rFont val="Arial CE"/>
        <family val="2"/>
      </rPr>
      <t xml:space="preserve"> (VAT - 126 050 niekwalifikowalny)</t>
    </r>
  </si>
  <si>
    <t xml:space="preserve">ROYBUDOWA BAYZ SPORTOWO+REKREACZJNEJ </t>
  </si>
  <si>
    <t>Budowa ogólnodostępnych boisk sportowych w ramach programu Moje boisko Orlik 2012 w Niekłończycy, gm. Police</t>
  </si>
  <si>
    <t>Transgraniczny Ośrodek Edukacji Ekologicznej - projekt 
pn. "Życie nad Zalewem Szczecińskim i w Puszczy Wkrzańskiej - ekologia, edukacja i historia"</t>
  </si>
  <si>
    <t>Przebudowa świetlicy Rady Osiedla nr 4 przy ul. Piaskowej 47a
w Policach</t>
  </si>
  <si>
    <t>Budowa budynków mieszkalno-usługowych przy ul. Bankowej 
w Policach</t>
  </si>
  <si>
    <t>Przebudowa rurociągu na cieku melioracyjnym "Grzybnica" oraz budowa sieci kanalizacji sanitarnej w ul. Kochanowskiego
w Policach</t>
  </si>
  <si>
    <t>Dodatkowe punkty oświetleniowe - ul.Odrzańska-ul.Robotnicza 
w Policach</t>
  </si>
  <si>
    <t>RÓŻNE ROZLICZENIA</t>
  </si>
  <si>
    <t>Część oświatowa subwencji ogólnej dla jednostek samorządu terytorialnego</t>
  </si>
  <si>
    <t>2920</t>
  </si>
  <si>
    <t>Subwencje ogólne z budżetu państwa</t>
  </si>
  <si>
    <t>Rezerwy ogólne i celowe</t>
  </si>
  <si>
    <t>budżetowe</t>
  </si>
  <si>
    <t>pomocowe</t>
  </si>
  <si>
    <t xml:space="preserve">Załącznik Nr 1
do uchwały nr XLV/343/09
Rady Miejskiej w Policach 
z dnia 24.11.2009 r. </t>
  </si>
  <si>
    <t xml:space="preserve">Załącznik Nr 2
do uchwały nr XLV/343/09
Rady Miejskiej w Policach 
z dnia 24.11.2009 r. </t>
  </si>
  <si>
    <t xml:space="preserve">Załącznik Nr 3
do uchwały nr XLV/343/09
Rady Miejskiej w Policach 
z dnia 24.11.2009 r. </t>
  </si>
  <si>
    <t xml:space="preserve">Załącznik Nr 4
do uchwały nr XLV/343/09
Rady Miejskiej w Policach 
z dnia 24.11.2009 r. </t>
  </si>
  <si>
    <t xml:space="preserve">Załącznik Nr 5
do uchwały nr XLV/343/09
Rady Miejskiej w Policach 
z dnia 24.11.2009 r. </t>
  </si>
  <si>
    <t xml:space="preserve">Załącznik Nr 6
do uchwały nr XLV/343/09
Rady Miejskiej w Policach 
z dnia 24.11.2009 r. </t>
  </si>
  <si>
    <t xml:space="preserve">Załącznik Nr 7
do uchwały nr XLV/343/09
Rady Miejskiej w Policach 
z dnia 24.11.2009 r. </t>
  </si>
  <si>
    <t xml:space="preserve">do uchwały nr XLV/343/09
Rady Miejskiej w Policach 
z dnia 24.11.2009 r. </t>
  </si>
  <si>
    <t xml:space="preserve">Załącznik Nr 9
do uchwały nr XLV/343/09
Rady Miejskiej w Policach 
z dnia 24.11.2009 r. </t>
  </si>
  <si>
    <t xml:space="preserve">Załącznik Nr 10
do uchwały nr XLV/343/09
Rady Miejskiej w Policach 
z dnia 24.11.2009 r. </t>
  </si>
  <si>
    <t xml:space="preserve">Załącznik Nr 11
do uchwały nr XLV/343/09
Rady Miejskiej w Policach 
z dnia 24.11.2009 r. </t>
  </si>
  <si>
    <t xml:space="preserve">Załącznik Nr 12
do uchwały nr XLV/343/09
Rady Miejskiej w Policach 
z dnia 24.11.2009 r. </t>
  </si>
  <si>
    <t xml:space="preserve">Załącznik nr 13
do uchwały nr XLV/343/09
Rady Miejskiej w Policach 
z dnia 24.11.2009 r. </t>
  </si>
  <si>
    <t xml:space="preserve">Załącznik Nr 14
do uchwały nr XLV/343/09
Rady Miejskiej w Policach 
z dnia 24.11.2009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</si>
</sst>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69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0"/>
      <color indexed="10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sz val="18"/>
      <name val="Arial CE"/>
      <family val="0"/>
    </font>
    <font>
      <b/>
      <sz val="10"/>
      <color indexed="10"/>
      <name val="Arial"/>
      <family val="2"/>
    </font>
    <font>
      <i/>
      <u val="single"/>
      <sz val="9"/>
      <name val="Arial CE"/>
      <family val="0"/>
    </font>
    <font>
      <i/>
      <sz val="9"/>
      <name val="Arial CE"/>
      <family val="0"/>
    </font>
    <font>
      <sz val="10"/>
      <color indexed="13"/>
      <name val="Arial"/>
      <family val="2"/>
    </font>
    <font>
      <sz val="9"/>
      <color indexed="10"/>
      <name val="Arial CE"/>
      <family val="2"/>
    </font>
    <font>
      <i/>
      <u val="single"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67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33" borderId="14" xfId="54" applyFont="1" applyFill="1" applyBorder="1" applyAlignment="1">
      <alignment horizontal="center"/>
      <protection/>
    </xf>
    <xf numFmtId="0" fontId="2" fillId="0" borderId="0" xfId="54" applyFont="1" applyAlignment="1">
      <alignment wrapText="1"/>
      <protection/>
    </xf>
    <xf numFmtId="0" fontId="2" fillId="0" borderId="15" xfId="54" applyFont="1" applyBorder="1" applyAlignment="1">
      <alignment horizontal="center"/>
      <protection/>
    </xf>
    <xf numFmtId="164" fontId="2" fillId="0" borderId="16" xfId="54" applyNumberFormat="1" applyFont="1" applyBorder="1" applyAlignment="1">
      <alignment horizontal="right" wrapText="1"/>
      <protection/>
    </xf>
    <xf numFmtId="164" fontId="2" fillId="0" borderId="17" xfId="54" applyNumberFormat="1" applyFont="1" applyBorder="1" applyAlignment="1">
      <alignment horizontal="right" wrapText="1"/>
      <protection/>
    </xf>
    <xf numFmtId="164" fontId="1" fillId="0" borderId="18" xfId="54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19" xfId="54" applyFont="1" applyBorder="1" applyAlignment="1">
      <alignment vertical="top"/>
      <protection/>
    </xf>
    <xf numFmtId="0" fontId="2" fillId="0" borderId="20" xfId="54" applyFont="1" applyBorder="1" applyAlignment="1">
      <alignment vertical="top"/>
      <protection/>
    </xf>
    <xf numFmtId="0" fontId="1" fillId="0" borderId="20" xfId="54" applyFont="1" applyBorder="1" applyAlignment="1">
      <alignment horizontal="center" vertical="top"/>
      <protection/>
    </xf>
    <xf numFmtId="164" fontId="16" fillId="0" borderId="0" xfId="0" applyNumberFormat="1" applyFont="1" applyAlignment="1">
      <alignment/>
    </xf>
    <xf numFmtId="164" fontId="1" fillId="0" borderId="21" xfId="54" applyNumberFormat="1" applyFont="1" applyBorder="1" applyAlignment="1">
      <alignment horizontal="right" wrapText="1"/>
      <protection/>
    </xf>
    <xf numFmtId="0" fontId="5" fillId="33" borderId="22" xfId="54" applyFont="1" applyFill="1" applyBorder="1" applyAlignment="1">
      <alignment horizontal="center"/>
      <protection/>
    </xf>
    <xf numFmtId="164" fontId="2" fillId="0" borderId="23" xfId="54" applyNumberFormat="1" applyFont="1" applyBorder="1" applyAlignment="1">
      <alignment horizontal="right" wrapText="1"/>
      <protection/>
    </xf>
    <xf numFmtId="164" fontId="2" fillId="0" borderId="24" xfId="54" applyNumberFormat="1" applyFont="1" applyBorder="1" applyAlignment="1">
      <alignment horizontal="right" wrapText="1"/>
      <protection/>
    </xf>
    <xf numFmtId="0" fontId="5" fillId="33" borderId="25" xfId="54" applyFont="1" applyFill="1" applyBorder="1" applyAlignment="1">
      <alignment horizontal="centerContinuous"/>
      <protection/>
    </xf>
    <xf numFmtId="0" fontId="2" fillId="0" borderId="26" xfId="54" applyFont="1" applyBorder="1">
      <alignment/>
      <protection/>
    </xf>
    <xf numFmtId="164" fontId="1" fillId="0" borderId="12" xfId="54" applyNumberFormat="1" applyFont="1" applyBorder="1" applyAlignment="1">
      <alignment horizontal="right"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17" xfId="54" applyNumberFormat="1" applyFont="1" applyBorder="1" applyAlignment="1">
      <alignment horizontal="right" wrapText="1"/>
      <protection/>
    </xf>
    <xf numFmtId="0" fontId="13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34" borderId="0" xfId="55" applyFont="1" applyFill="1" applyAlignment="1">
      <alignment vertical="center"/>
      <protection/>
    </xf>
    <xf numFmtId="0" fontId="2" fillId="34" borderId="0" xfId="55" applyFont="1" applyFill="1" applyAlignment="1">
      <alignment vertical="center" wrapText="1"/>
      <protection/>
    </xf>
    <xf numFmtId="0" fontId="2" fillId="0" borderId="0" xfId="55" applyFont="1">
      <alignment/>
      <protection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3" fontId="10" fillId="33" borderId="35" xfId="0" applyNumberFormat="1" applyFont="1" applyFill="1" applyBorder="1" applyAlignment="1">
      <alignment horizontal="right" vertical="center" wrapText="1"/>
    </xf>
    <xf numFmtId="3" fontId="10" fillId="33" borderId="3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/>
    </xf>
    <xf numFmtId="0" fontId="11" fillId="34" borderId="3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center" vertical="center" wrapText="1"/>
    </xf>
    <xf numFmtId="3" fontId="11" fillId="34" borderId="31" xfId="0" applyNumberFormat="1" applyFont="1" applyFill="1" applyBorder="1" applyAlignment="1">
      <alignment horizontal="center" vertical="center"/>
    </xf>
    <xf numFmtId="3" fontId="11" fillId="34" borderId="33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21" fillId="34" borderId="37" xfId="0" applyFont="1" applyFill="1" applyBorder="1" applyAlignment="1">
      <alignment vertical="center" wrapText="1"/>
    </xf>
    <xf numFmtId="3" fontId="22" fillId="0" borderId="37" xfId="0" applyNumberFormat="1" applyFont="1" applyFill="1" applyBorder="1" applyAlignment="1">
      <alignment horizontal="right" vertical="center" wrapText="1"/>
    </xf>
    <xf numFmtId="3" fontId="22" fillId="34" borderId="38" xfId="0" applyNumberFormat="1" applyFont="1" applyFill="1" applyBorder="1" applyAlignment="1">
      <alignment horizontal="right" vertical="center" wrapText="1"/>
    </xf>
    <xf numFmtId="3" fontId="11" fillId="34" borderId="37" xfId="0" applyNumberFormat="1" applyFont="1" applyFill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34" borderId="38" xfId="0" applyNumberFormat="1" applyFont="1" applyFill="1" applyBorder="1" applyAlignment="1">
      <alignment horizontal="right" vertical="center" wrapText="1"/>
    </xf>
    <xf numFmtId="3" fontId="11" fillId="34" borderId="37" xfId="0" applyNumberFormat="1" applyFont="1" applyFill="1" applyBorder="1" applyAlignment="1">
      <alignment horizontal="right" vertical="center" wrapText="1"/>
    </xf>
    <xf numFmtId="3" fontId="11" fillId="34" borderId="37" xfId="0" applyNumberFormat="1" applyFont="1" applyFill="1" applyBorder="1" applyAlignment="1">
      <alignment horizontal="right" vertical="center"/>
    </xf>
    <xf numFmtId="3" fontId="10" fillId="35" borderId="39" xfId="0" applyNumberFormat="1" applyFont="1" applyFill="1" applyBorder="1" applyAlignment="1">
      <alignment horizontal="right" vertical="center" wrapText="1"/>
    </xf>
    <xf numFmtId="3" fontId="10" fillId="35" borderId="39" xfId="0" applyNumberFormat="1" applyFont="1" applyFill="1" applyBorder="1" applyAlignment="1">
      <alignment horizontal="right" vertical="center" wrapText="1"/>
    </xf>
    <xf numFmtId="0" fontId="10" fillId="33" borderId="36" xfId="0" applyFont="1" applyFill="1" applyBorder="1" applyAlignment="1">
      <alignment/>
    </xf>
    <xf numFmtId="0" fontId="1" fillId="0" borderId="0" xfId="0" applyFont="1" applyAlignment="1">
      <alignment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22" fillId="0" borderId="38" xfId="0" applyNumberFormat="1" applyFont="1" applyFill="1" applyBorder="1" applyAlignment="1">
      <alignment horizontal="right" vertical="center" wrapText="1"/>
    </xf>
    <xf numFmtId="3" fontId="21" fillId="34" borderId="31" xfId="0" applyNumberFormat="1" applyFont="1" applyFill="1" applyBorder="1" applyAlignment="1">
      <alignment horizontal="right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3" fontId="22" fillId="34" borderId="37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/>
    </xf>
    <xf numFmtId="3" fontId="11" fillId="34" borderId="37" xfId="0" applyNumberFormat="1" applyFont="1" applyFill="1" applyBorder="1" applyAlignment="1">
      <alignment horizontal="right" vertical="center" wrapText="1"/>
    </xf>
    <xf numFmtId="0" fontId="11" fillId="0" borderId="40" xfId="0" applyFont="1" applyBorder="1" applyAlignment="1">
      <alignment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3" fontId="11" fillId="34" borderId="40" xfId="0" applyNumberFormat="1" applyFont="1" applyFill="1" applyBorder="1" applyAlignment="1">
      <alignment horizontal="right" vertical="center" wrapText="1"/>
    </xf>
    <xf numFmtId="3" fontId="11" fillId="34" borderId="40" xfId="0" applyNumberFormat="1" applyFont="1" applyFill="1" applyBorder="1" applyAlignment="1">
      <alignment horizontal="right" vertical="center"/>
    </xf>
    <xf numFmtId="3" fontId="11" fillId="34" borderId="41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vertical="center" wrapText="1"/>
    </xf>
    <xf numFmtId="0" fontId="11" fillId="34" borderId="40" xfId="0" applyFont="1" applyFill="1" applyBorder="1" applyAlignment="1">
      <alignment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right" vertical="center"/>
    </xf>
    <xf numFmtId="3" fontId="11" fillId="34" borderId="40" xfId="0" applyNumberFormat="1" applyFont="1" applyFill="1" applyBorder="1" applyAlignment="1">
      <alignment horizontal="center" vertical="center" wrapText="1"/>
    </xf>
    <xf numFmtId="3" fontId="11" fillId="34" borderId="40" xfId="0" applyNumberFormat="1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3" fontId="11" fillId="34" borderId="38" xfId="0" applyNumberFormat="1" applyFont="1" applyFill="1" applyBorder="1" applyAlignment="1">
      <alignment horizontal="center" vertical="center" wrapText="1"/>
    </xf>
    <xf numFmtId="3" fontId="11" fillId="34" borderId="37" xfId="0" applyNumberFormat="1" applyFont="1" applyFill="1" applyBorder="1" applyAlignment="1">
      <alignment horizontal="center" vertical="center" wrapText="1"/>
    </xf>
    <xf numFmtId="3" fontId="11" fillId="34" borderId="40" xfId="0" applyNumberFormat="1" applyFont="1" applyFill="1" applyBorder="1" applyAlignment="1">
      <alignment horizontal="right" vertical="center" wrapText="1"/>
    </xf>
    <xf numFmtId="0" fontId="10" fillId="34" borderId="37" xfId="0" applyFont="1" applyFill="1" applyBorder="1" applyAlignment="1">
      <alignment vertical="center" wrapText="1"/>
    </xf>
    <xf numFmtId="3" fontId="10" fillId="35" borderId="42" xfId="0" applyNumberFormat="1" applyFont="1" applyFill="1" applyBorder="1" applyAlignment="1">
      <alignment horizontal="right" vertical="center" wrapText="1"/>
    </xf>
    <xf numFmtId="3" fontId="22" fillId="34" borderId="37" xfId="0" applyNumberFormat="1" applyFont="1" applyFill="1" applyBorder="1" applyAlignment="1">
      <alignment vertical="center" wrapText="1"/>
    </xf>
    <xf numFmtId="3" fontId="10" fillId="35" borderId="35" xfId="0" applyNumberFormat="1" applyFont="1" applyFill="1" applyBorder="1" applyAlignment="1">
      <alignment horizontal="right" vertical="center" wrapText="1"/>
    </xf>
    <xf numFmtId="3" fontId="11" fillId="34" borderId="33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3" fontId="11" fillId="34" borderId="41" xfId="0" applyNumberFormat="1" applyFont="1" applyFill="1" applyBorder="1" applyAlignment="1">
      <alignment horizontal="center" vertical="center"/>
    </xf>
    <xf numFmtId="3" fontId="23" fillId="34" borderId="32" xfId="0" applyNumberFormat="1" applyFont="1" applyFill="1" applyBorder="1" applyAlignment="1">
      <alignment horizontal="center" vertical="center"/>
    </xf>
    <xf numFmtId="3" fontId="24" fillId="34" borderId="38" xfId="0" applyNumberFormat="1" applyFont="1" applyFill="1" applyBorder="1" applyAlignment="1">
      <alignment horizontal="right" vertical="center"/>
    </xf>
    <xf numFmtId="3" fontId="22" fillId="34" borderId="37" xfId="0" applyNumberFormat="1" applyFont="1" applyFill="1" applyBorder="1" applyAlignment="1">
      <alignment horizontal="right" vertical="center" wrapText="1"/>
    </xf>
    <xf numFmtId="3" fontId="21" fillId="34" borderId="37" xfId="0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 wrapText="1"/>
    </xf>
    <xf numFmtId="3" fontId="23" fillId="34" borderId="38" xfId="0" applyNumberFormat="1" applyFont="1" applyFill="1" applyBorder="1" applyAlignment="1">
      <alignment horizontal="right"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23" fillId="34" borderId="38" xfId="0" applyNumberFormat="1" applyFont="1" applyFill="1" applyBorder="1" applyAlignment="1">
      <alignment horizontal="center" vertical="center"/>
    </xf>
    <xf numFmtId="3" fontId="12" fillId="34" borderId="38" xfId="0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3" fontId="23" fillId="34" borderId="32" xfId="0" applyNumberFormat="1" applyFont="1" applyFill="1" applyBorder="1" applyAlignment="1">
      <alignment horizontal="right" vertical="center"/>
    </xf>
    <xf numFmtId="3" fontId="11" fillId="34" borderId="33" xfId="0" applyNumberFormat="1" applyFont="1" applyFill="1" applyBorder="1" applyAlignment="1">
      <alignment horizontal="right" vertical="center"/>
    </xf>
    <xf numFmtId="0" fontId="21" fillId="0" borderId="37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3" fontId="11" fillId="0" borderId="40" xfId="0" applyNumberFormat="1" applyFont="1" applyBorder="1" applyAlignment="1">
      <alignment vertical="center" wrapText="1"/>
    </xf>
    <xf numFmtId="3" fontId="10" fillId="35" borderId="51" xfId="0" applyNumberFormat="1" applyFont="1" applyFill="1" applyBorder="1" applyAlignment="1">
      <alignment horizontal="right" vertical="center" wrapText="1"/>
    </xf>
    <xf numFmtId="3" fontId="10" fillId="35" borderId="51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11" fillId="0" borderId="52" xfId="0" applyFont="1" applyBorder="1" applyAlignment="1">
      <alignment vertical="center" wrapText="1"/>
    </xf>
    <xf numFmtId="3" fontId="11" fillId="0" borderId="52" xfId="0" applyNumberFormat="1" applyFont="1" applyBorder="1" applyAlignment="1">
      <alignment vertical="center" wrapText="1"/>
    </xf>
    <xf numFmtId="3" fontId="11" fillId="34" borderId="52" xfId="0" applyNumberFormat="1" applyFont="1" applyFill="1" applyBorder="1" applyAlignment="1">
      <alignment horizontal="right" vertical="center" wrapText="1"/>
    </xf>
    <xf numFmtId="3" fontId="11" fillId="34" borderId="53" xfId="0" applyNumberFormat="1" applyFont="1" applyFill="1" applyBorder="1" applyAlignment="1">
      <alignment horizontal="right" vertical="center" wrapText="1"/>
    </xf>
    <xf numFmtId="0" fontId="11" fillId="33" borderId="54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3" fontId="21" fillId="34" borderId="37" xfId="0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3" fontId="26" fillId="33" borderId="37" xfId="0" applyNumberFormat="1" applyFont="1" applyFill="1" applyBorder="1" applyAlignment="1">
      <alignment vertical="center" wrapText="1"/>
    </xf>
    <xf numFmtId="3" fontId="10" fillId="33" borderId="37" xfId="0" applyNumberFormat="1" applyFont="1" applyFill="1" applyBorder="1" applyAlignment="1">
      <alignment vertical="center" wrapText="1"/>
    </xf>
    <xf numFmtId="0" fontId="2" fillId="34" borderId="0" xfId="55" applyFont="1" applyFill="1" applyAlignment="1">
      <alignment horizontal="center" wrapText="1"/>
      <protection/>
    </xf>
    <xf numFmtId="0" fontId="2" fillId="34" borderId="0" xfId="55" applyFont="1" applyFill="1" applyAlignment="1">
      <alignment horizontal="center" vertical="center" wrapText="1"/>
      <protection/>
    </xf>
    <xf numFmtId="3" fontId="2" fillId="34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>
      <alignment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1" fillId="33" borderId="55" xfId="0" applyFont="1" applyFill="1" applyBorder="1" applyAlignment="1">
      <alignment vertical="center" wrapText="1"/>
    </xf>
    <xf numFmtId="3" fontId="11" fillId="33" borderId="21" xfId="0" applyNumberFormat="1" applyFont="1" applyFill="1" applyBorder="1" applyAlignment="1">
      <alignment/>
    </xf>
    <xf numFmtId="3" fontId="10" fillId="33" borderId="21" xfId="0" applyNumberFormat="1" applyFont="1" applyFill="1" applyBorder="1" applyAlignment="1">
      <alignment vertical="center" wrapText="1"/>
    </xf>
    <xf numFmtId="0" fontId="11" fillId="33" borderId="56" xfId="0" applyFont="1" applyFill="1" applyBorder="1" applyAlignment="1">
      <alignment vertical="center" wrapText="1"/>
    </xf>
    <xf numFmtId="0" fontId="11" fillId="33" borderId="41" xfId="0" applyFont="1" applyFill="1" applyBorder="1" applyAlignment="1">
      <alignment vertical="center" wrapText="1"/>
    </xf>
    <xf numFmtId="0" fontId="26" fillId="33" borderId="41" xfId="0" applyFont="1" applyFill="1" applyBorder="1" applyAlignment="1">
      <alignment vertical="center" wrapText="1"/>
    </xf>
    <xf numFmtId="3" fontId="26" fillId="33" borderId="40" xfId="0" applyNumberFormat="1" applyFont="1" applyFill="1" applyBorder="1" applyAlignment="1">
      <alignment vertical="center" wrapText="1"/>
    </xf>
    <xf numFmtId="3" fontId="10" fillId="33" borderId="40" xfId="0" applyNumberFormat="1" applyFont="1" applyFill="1" applyBorder="1" applyAlignment="1">
      <alignment vertical="center" wrapText="1"/>
    </xf>
    <xf numFmtId="3" fontId="11" fillId="33" borderId="25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33" borderId="57" xfId="54" applyFont="1" applyFill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Continuous"/>
      <protection/>
    </xf>
    <xf numFmtId="0" fontId="5" fillId="33" borderId="56" xfId="54" applyFont="1" applyFill="1" applyBorder="1" applyAlignment="1">
      <alignment horizontal="center"/>
      <protection/>
    </xf>
    <xf numFmtId="0" fontId="5" fillId="33" borderId="40" xfId="54" applyFont="1" applyFill="1" applyBorder="1" applyAlignment="1">
      <alignment horizontal="center"/>
      <protection/>
    </xf>
    <xf numFmtId="0" fontId="5" fillId="33" borderId="25" xfId="54" applyFont="1" applyFill="1" applyBorder="1" applyAlignment="1">
      <alignment horizontal="center"/>
      <protection/>
    </xf>
    <xf numFmtId="0" fontId="1" fillId="0" borderId="55" xfId="54" applyFont="1" applyBorder="1" applyAlignment="1">
      <alignment horizontal="center" vertical="top"/>
      <protection/>
    </xf>
    <xf numFmtId="0" fontId="1" fillId="0" borderId="15" xfId="54" applyFont="1" applyBorder="1" applyAlignment="1">
      <alignment horizontal="center"/>
      <protection/>
    </xf>
    <xf numFmtId="0" fontId="1" fillId="0" borderId="24" xfId="54" applyFont="1" applyBorder="1" applyAlignment="1">
      <alignment wrapText="1"/>
      <protection/>
    </xf>
    <xf numFmtId="164" fontId="1" fillId="0" borderId="58" xfId="42" applyNumberFormat="1" applyFont="1" applyBorder="1" applyAlignment="1">
      <alignment horizontal="right" wrapText="1"/>
    </xf>
    <xf numFmtId="164" fontId="1" fillId="0" borderId="15" xfId="42" applyNumberFormat="1" applyFont="1" applyBorder="1" applyAlignment="1">
      <alignment horizontal="right" wrapText="1"/>
    </xf>
    <xf numFmtId="164" fontId="1" fillId="0" borderId="59" xfId="42" applyNumberFormat="1" applyFont="1" applyBorder="1" applyAlignment="1">
      <alignment horizontal="right" wrapText="1"/>
    </xf>
    <xf numFmtId="0" fontId="2" fillId="0" borderId="55" xfId="54" applyFont="1" applyBorder="1" applyAlignment="1">
      <alignment vertical="top"/>
      <protection/>
    </xf>
    <xf numFmtId="0" fontId="2" fillId="0" borderId="37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164" fontId="2" fillId="0" borderId="20" xfId="42" applyNumberFormat="1" applyFont="1" applyBorder="1" applyAlignment="1">
      <alignment horizontal="right" wrapText="1"/>
    </xf>
    <xf numFmtId="164" fontId="2" fillId="0" borderId="37" xfId="42" applyNumberFormat="1" applyFont="1" applyBorder="1" applyAlignment="1">
      <alignment horizontal="right" wrapText="1"/>
    </xf>
    <xf numFmtId="41" fontId="2" fillId="0" borderId="55" xfId="42" applyNumberFormat="1" applyFont="1" applyBorder="1" applyAlignment="1">
      <alignment horizontal="right" wrapText="1"/>
    </xf>
    <xf numFmtId="41" fontId="2" fillId="0" borderId="37" xfId="42" applyNumberFormat="1" applyFont="1" applyBorder="1" applyAlignment="1">
      <alignment horizontal="right" wrapText="1"/>
    </xf>
    <xf numFmtId="41" fontId="2" fillId="0" borderId="21" xfId="42" applyNumberFormat="1" applyFont="1" applyBorder="1" applyAlignment="1">
      <alignment horizontal="right" wrapText="1"/>
    </xf>
    <xf numFmtId="0" fontId="2" fillId="0" borderId="24" xfId="54" applyFont="1" applyBorder="1">
      <alignment/>
      <protection/>
    </xf>
    <xf numFmtId="164" fontId="1" fillId="0" borderId="60" xfId="54" applyNumberFormat="1" applyFont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164" fontId="16" fillId="0" borderId="0" xfId="42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7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4" fillId="37" borderId="0" xfId="0" applyFont="1" applyFill="1" applyAlignment="1">
      <alignment/>
    </xf>
    <xf numFmtId="0" fontId="15" fillId="35" borderId="57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164" fontId="1" fillId="34" borderId="62" xfId="42" applyNumberFormat="1" applyFont="1" applyFill="1" applyBorder="1" applyAlignment="1">
      <alignment horizontal="left" vertical="center" wrapText="1"/>
    </xf>
    <xf numFmtId="164" fontId="1" fillId="34" borderId="62" xfId="42" applyNumberFormat="1" applyFont="1" applyFill="1" applyBorder="1" applyAlignment="1">
      <alignment horizontal="right" vertical="center" wrapText="1"/>
    </xf>
    <xf numFmtId="164" fontId="1" fillId="34" borderId="63" xfId="42" applyNumberFormat="1" applyFont="1" applyFill="1" applyBorder="1" applyAlignment="1">
      <alignment horizontal="right" vertical="center" wrapText="1"/>
    </xf>
    <xf numFmtId="164" fontId="2" fillId="34" borderId="57" xfId="42" applyNumberFormat="1" applyFont="1" applyFill="1" applyBorder="1" applyAlignment="1">
      <alignment horizontal="left" vertical="center" wrapText="1"/>
    </xf>
    <xf numFmtId="164" fontId="2" fillId="34" borderId="57" xfId="42" applyNumberFormat="1" applyFont="1" applyFill="1" applyBorder="1" applyAlignment="1">
      <alignment horizontal="right" vertical="center" wrapText="1"/>
    </xf>
    <xf numFmtId="164" fontId="2" fillId="34" borderId="61" xfId="42" applyNumberFormat="1" applyFont="1" applyFill="1" applyBorder="1" applyAlignment="1">
      <alignment horizontal="right" vertical="center" wrapText="1"/>
    </xf>
    <xf numFmtId="164" fontId="2" fillId="0" borderId="44" xfId="42" applyNumberFormat="1" applyFont="1" applyFill="1" applyBorder="1" applyAlignment="1">
      <alignment horizontal="left" vertical="center" wrapText="1"/>
    </xf>
    <xf numFmtId="164" fontId="2" fillId="0" borderId="44" xfId="42" applyNumberFormat="1" applyFont="1" applyFill="1" applyBorder="1" applyAlignment="1">
      <alignment horizontal="right" vertical="center" wrapText="1"/>
    </xf>
    <xf numFmtId="164" fontId="2" fillId="0" borderId="14" xfId="42" applyNumberFormat="1" applyFont="1" applyFill="1" applyBorder="1" applyAlignment="1">
      <alignment horizontal="right" vertical="center" wrapText="1"/>
    </xf>
    <xf numFmtId="164" fontId="2" fillId="34" borderId="64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1" fillId="34" borderId="62" xfId="42" applyNumberFormat="1" applyFont="1" applyFill="1" applyBorder="1" applyAlignment="1">
      <alignment horizontal="right" vertical="center" wrapText="1"/>
    </xf>
    <xf numFmtId="164" fontId="2" fillId="34" borderId="57" xfId="42" applyNumberFormat="1" applyFont="1" applyFill="1" applyBorder="1" applyAlignment="1">
      <alignment horizontal="right" vertical="center" wrapText="1"/>
    </xf>
    <xf numFmtId="0" fontId="5" fillId="35" borderId="30" xfId="0" applyFont="1" applyFill="1" applyBorder="1" applyAlignment="1">
      <alignment horizontal="center" wrapText="1"/>
    </xf>
    <xf numFmtId="0" fontId="5" fillId="35" borderId="31" xfId="0" applyFont="1" applyFill="1" applyBorder="1" applyAlignment="1">
      <alignment horizont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1" fillId="34" borderId="15" xfId="42" applyNumberFormat="1" applyFont="1" applyFill="1" applyBorder="1" applyAlignment="1">
      <alignment horizontal="left" vertical="center" wrapText="1"/>
    </xf>
    <xf numFmtId="164" fontId="1" fillId="34" borderId="15" xfId="42" applyNumberFormat="1" applyFont="1" applyFill="1" applyBorder="1" applyAlignment="1">
      <alignment horizontal="right" vertical="center" wrapText="1"/>
    </xf>
    <xf numFmtId="164" fontId="1" fillId="34" borderId="15" xfId="42" applyNumberFormat="1" applyFont="1" applyFill="1" applyBorder="1" applyAlignment="1">
      <alignment horizontal="right" vertical="center" wrapText="1"/>
    </xf>
    <xf numFmtId="164" fontId="1" fillId="34" borderId="17" xfId="42" applyNumberFormat="1" applyFont="1" applyFill="1" applyBorder="1" applyAlignment="1">
      <alignment horizontal="right" vertical="center" wrapText="1"/>
    </xf>
    <xf numFmtId="10" fontId="4" fillId="0" borderId="0" xfId="58" applyNumberFormat="1" applyFont="1" applyAlignment="1">
      <alignment/>
    </xf>
    <xf numFmtId="9" fontId="4" fillId="0" borderId="0" xfId="58" applyNumberFormat="1" applyFont="1" applyAlignment="1">
      <alignment/>
    </xf>
    <xf numFmtId="164" fontId="4" fillId="34" borderId="0" xfId="42" applyNumberFormat="1" applyFont="1" applyFill="1" applyBorder="1" applyAlignment="1">
      <alignment horizontal="center" vertical="center" wrapText="1"/>
    </xf>
    <xf numFmtId="164" fontId="2" fillId="0" borderId="44" xfId="42" applyNumberFormat="1" applyFont="1" applyFill="1" applyBorder="1" applyAlignment="1">
      <alignment horizontal="right" vertical="center" wrapText="1"/>
    </xf>
    <xf numFmtId="164" fontId="1" fillId="34" borderId="65" xfId="42" applyNumberFormat="1" applyFont="1" applyFill="1" applyBorder="1" applyAlignment="1">
      <alignment horizontal="left" vertical="center" wrapText="1"/>
    </xf>
    <xf numFmtId="164" fontId="1" fillId="0" borderId="33" xfId="0" applyNumberFormat="1" applyFont="1" applyBorder="1" applyAlignment="1">
      <alignment horizontal="right" wrapText="1"/>
    </xf>
    <xf numFmtId="164" fontId="1" fillId="0" borderId="62" xfId="0" applyNumberFormat="1" applyFont="1" applyBorder="1" applyAlignment="1">
      <alignment horizontal="right" wrapText="1"/>
    </xf>
    <xf numFmtId="164" fontId="1" fillId="34" borderId="66" xfId="42" applyNumberFormat="1" applyFont="1" applyFill="1" applyBorder="1" applyAlignment="1">
      <alignment horizontal="left" vertical="center" wrapText="1"/>
    </xf>
    <xf numFmtId="164" fontId="1" fillId="34" borderId="64" xfId="42" applyNumberFormat="1" applyFont="1" applyFill="1" applyBorder="1" applyAlignment="1">
      <alignment horizontal="right" vertical="center" wrapText="1"/>
    </xf>
    <xf numFmtId="164" fontId="1" fillId="34" borderId="61" xfId="42" applyNumberFormat="1" applyFont="1" applyFill="1" applyBorder="1" applyAlignment="1">
      <alignment horizontal="right" vertical="center" wrapText="1"/>
    </xf>
    <xf numFmtId="164" fontId="1" fillId="0" borderId="22" xfId="42" applyNumberFormat="1" applyFont="1" applyFill="1" applyBorder="1" applyAlignment="1">
      <alignment horizontal="left" vertical="center" wrapText="1"/>
    </xf>
    <xf numFmtId="164" fontId="1" fillId="34" borderId="43" xfId="42" applyNumberFormat="1" applyFont="1" applyFill="1" applyBorder="1" applyAlignment="1">
      <alignment horizontal="right" vertical="center" wrapText="1"/>
    </xf>
    <xf numFmtId="164" fontId="1" fillId="34" borderId="14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9" fontId="11" fillId="0" borderId="21" xfId="0" applyNumberFormat="1" applyFont="1" applyBorder="1" applyAlignment="1">
      <alignment horizontal="center"/>
    </xf>
    <xf numFmtId="9" fontId="11" fillId="0" borderId="25" xfId="0" applyNumberFormat="1" applyFont="1" applyBorder="1" applyAlignment="1">
      <alignment horizontal="center"/>
    </xf>
    <xf numFmtId="0" fontId="11" fillId="0" borderId="52" xfId="0" applyFont="1" applyFill="1" applyBorder="1" applyAlignment="1">
      <alignment horizontal="lef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10" fillId="0" borderId="67" xfId="0" applyNumberFormat="1" applyFont="1" applyFill="1" applyBorder="1" applyAlignment="1">
      <alignment horizontal="right" vertical="center" wrapText="1"/>
    </xf>
    <xf numFmtId="0" fontId="11" fillId="0" borderId="68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9" fontId="11" fillId="0" borderId="68" xfId="0" applyNumberFormat="1" applyFont="1" applyBorder="1" applyAlignment="1">
      <alignment horizontal="center"/>
    </xf>
    <xf numFmtId="0" fontId="10" fillId="35" borderId="55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3" fontId="25" fillId="33" borderId="37" xfId="0" applyNumberFormat="1" applyFont="1" applyFill="1" applyBorder="1" applyAlignment="1">
      <alignment vertical="center" wrapText="1"/>
    </xf>
    <xf numFmtId="3" fontId="22" fillId="33" borderId="37" xfId="0" applyNumberFormat="1" applyFont="1" applyFill="1" applyBorder="1" applyAlignment="1">
      <alignment vertical="center" wrapText="1"/>
    </xf>
    <xf numFmtId="3" fontId="2" fillId="0" borderId="0" xfId="55" applyNumberFormat="1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3" fontId="11" fillId="34" borderId="11" xfId="0" applyNumberFormat="1" applyFont="1" applyFill="1" applyBorder="1" applyAlignment="1">
      <alignment vertical="center" wrapText="1"/>
    </xf>
    <xf numFmtId="3" fontId="11" fillId="34" borderId="40" xfId="0" applyNumberFormat="1" applyFont="1" applyFill="1" applyBorder="1" applyAlignment="1">
      <alignment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4" borderId="4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1" fillId="33" borderId="66" xfId="0" applyNumberFormat="1" applyFont="1" applyFill="1" applyBorder="1" applyAlignment="1">
      <alignment horizontal="center" vertical="center" wrapText="1"/>
    </xf>
    <xf numFmtId="3" fontId="1" fillId="33" borderId="61" xfId="0" applyNumberFormat="1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69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left" vertical="center" wrapText="1"/>
    </xf>
    <xf numFmtId="164" fontId="13" fillId="0" borderId="58" xfId="42" applyNumberFormat="1" applyFont="1" applyBorder="1" applyAlignment="1">
      <alignment horizontal="right" vertical="center" wrapText="1"/>
    </xf>
    <xf numFmtId="164" fontId="13" fillId="0" borderId="24" xfId="42" applyNumberFormat="1" applyFont="1" applyBorder="1" applyAlignment="1">
      <alignment horizontal="right" vertical="center" wrapText="1"/>
    </xf>
    <xf numFmtId="164" fontId="13" fillId="0" borderId="59" xfId="42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164" fontId="0" fillId="0" borderId="58" xfId="42" applyNumberFormat="1" applyFont="1" applyBorder="1" applyAlignment="1">
      <alignment horizontal="right" vertical="center" wrapText="1"/>
    </xf>
    <xf numFmtId="164" fontId="0" fillId="0" borderId="57" xfId="42" applyNumberFormat="1" applyFont="1" applyBorder="1" applyAlignment="1">
      <alignment horizontal="right"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59" xfId="42" applyNumberFormat="1" applyFont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164" fontId="0" fillId="0" borderId="19" xfId="42" applyNumberFormat="1" applyFont="1" applyBorder="1" applyAlignment="1">
      <alignment horizontal="right" vertical="center" wrapText="1"/>
    </xf>
    <xf numFmtId="164" fontId="0" fillId="0" borderId="15" xfId="42" applyNumberFormat="1" applyFont="1" applyBorder="1" applyAlignment="1">
      <alignment horizontal="right"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164" fontId="0" fillId="0" borderId="71" xfId="42" applyNumberFormat="1" applyFont="1" applyBorder="1" applyAlignment="1">
      <alignment horizontal="right" vertical="center" wrapText="1"/>
    </xf>
    <xf numFmtId="164" fontId="13" fillId="0" borderId="72" xfId="42" applyNumberFormat="1" applyFont="1" applyBorder="1" applyAlignment="1">
      <alignment horizontal="right" vertical="center" wrapText="1"/>
    </xf>
    <xf numFmtId="164" fontId="13" fillId="0" borderId="60" xfId="42" applyNumberFormat="1" applyFont="1" applyBorder="1" applyAlignment="1">
      <alignment horizontal="right" vertical="center" wrapText="1"/>
    </xf>
    <xf numFmtId="164" fontId="13" fillId="0" borderId="73" xfId="42" applyNumberFormat="1" applyFont="1" applyBorder="1" applyAlignment="1">
      <alignment horizontal="right" vertical="center" wrapText="1"/>
    </xf>
    <xf numFmtId="164" fontId="13" fillId="0" borderId="74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9" fillId="0" borderId="0" xfId="0" applyNumberFormat="1" applyFont="1" applyFill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61" xfId="42" applyNumberFormat="1" applyFont="1" applyBorder="1" applyAlignment="1">
      <alignment horizontal="right" vertical="center" wrapText="1"/>
    </xf>
    <xf numFmtId="164" fontId="2" fillId="0" borderId="19" xfId="42" applyNumberFormat="1" applyFont="1" applyBorder="1" applyAlignment="1">
      <alignment horizontal="right" wrapText="1"/>
    </xf>
    <xf numFmtId="164" fontId="2" fillId="0" borderId="15" xfId="42" applyNumberFormat="1" applyFont="1" applyBorder="1" applyAlignment="1">
      <alignment horizontal="right" wrapText="1"/>
    </xf>
    <xf numFmtId="41" fontId="2" fillId="0" borderId="58" xfId="42" applyNumberFormat="1" applyFont="1" applyBorder="1" applyAlignment="1">
      <alignment horizontal="right" wrapText="1"/>
    </xf>
    <xf numFmtId="41" fontId="2" fillId="0" borderId="15" xfId="42" applyNumberFormat="1" applyFont="1" applyBorder="1" applyAlignment="1">
      <alignment horizontal="right" wrapText="1"/>
    </xf>
    <xf numFmtId="41" fontId="2" fillId="0" borderId="17" xfId="42" applyNumberFormat="1" applyFont="1" applyBorder="1" applyAlignment="1">
      <alignment horizontal="right" wrapText="1"/>
    </xf>
    <xf numFmtId="164" fontId="1" fillId="0" borderId="72" xfId="54" applyNumberFormat="1" applyFont="1" applyBorder="1" applyAlignment="1">
      <alignment horizontal="right" vertical="center" wrapText="1"/>
      <protection/>
    </xf>
    <xf numFmtId="0" fontId="1" fillId="33" borderId="61" xfId="54" applyFont="1" applyFill="1" applyBorder="1" applyAlignment="1">
      <alignment horizontal="center" vertical="center" wrapText="1"/>
      <protection/>
    </xf>
    <xf numFmtId="164" fontId="2" fillId="0" borderId="21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164" fontId="1" fillId="0" borderId="73" xfId="54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 wrapText="1"/>
    </xf>
    <xf numFmtId="164" fontId="13" fillId="0" borderId="62" xfId="42" applyNumberFormat="1" applyFont="1" applyBorder="1" applyAlignment="1">
      <alignment horizontal="right" vertical="center" wrapText="1"/>
    </xf>
    <xf numFmtId="164" fontId="0" fillId="0" borderId="24" xfId="42" applyNumberFormat="1" applyFont="1" applyBorder="1" applyAlignment="1">
      <alignment horizontal="right" vertical="center" wrapText="1"/>
    </xf>
    <xf numFmtId="164" fontId="13" fillId="0" borderId="57" xfId="42" applyNumberFormat="1" applyFont="1" applyBorder="1" applyAlignment="1">
      <alignment horizontal="right" vertical="center" wrapText="1"/>
    </xf>
    <xf numFmtId="164" fontId="2" fillId="0" borderId="55" xfId="42" applyNumberFormat="1" applyFont="1" applyBorder="1" applyAlignment="1">
      <alignment horizontal="right" wrapText="1"/>
    </xf>
    <xf numFmtId="164" fontId="2" fillId="0" borderId="26" xfId="42" applyNumberFormat="1" applyFont="1" applyBorder="1" applyAlignment="1">
      <alignment horizontal="right" wrapText="1"/>
    </xf>
    <xf numFmtId="41" fontId="1" fillId="0" borderId="55" xfId="42" applyNumberFormat="1" applyFont="1" applyBorder="1" applyAlignment="1">
      <alignment horizontal="right" wrapText="1"/>
    </xf>
    <xf numFmtId="41" fontId="2" fillId="0" borderId="26" xfId="42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center" vertical="center" wrapText="1"/>
    </xf>
    <xf numFmtId="164" fontId="0" fillId="0" borderId="75" xfId="42" applyNumberFormat="1" applyFont="1" applyBorder="1" applyAlignment="1">
      <alignment horizontal="right" vertical="center" wrapText="1"/>
    </xf>
    <xf numFmtId="164" fontId="0" fillId="0" borderId="76" xfId="42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13" fillId="0" borderId="77" xfId="0" applyFont="1" applyBorder="1" applyAlignment="1">
      <alignment horizontal="left" vertical="center" wrapText="1"/>
    </xf>
    <xf numFmtId="164" fontId="13" fillId="0" borderId="78" xfId="42" applyNumberFormat="1" applyFont="1" applyBorder="1" applyAlignment="1">
      <alignment horizontal="right" vertical="center" wrapText="1"/>
    </xf>
    <xf numFmtId="164" fontId="13" fillId="0" borderId="79" xfId="42" applyNumberFormat="1" applyFont="1" applyBorder="1" applyAlignment="1">
      <alignment horizontal="right" vertical="center" wrapText="1"/>
    </xf>
    <xf numFmtId="164" fontId="13" fillId="0" borderId="80" xfId="42" applyNumberFormat="1" applyFont="1" applyBorder="1" applyAlignment="1">
      <alignment horizontal="right" vertical="center" wrapText="1"/>
    </xf>
    <xf numFmtId="164" fontId="13" fillId="0" borderId="63" xfId="42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0" fontId="2" fillId="0" borderId="81" xfId="54" applyFont="1" applyBorder="1" applyAlignment="1">
      <alignment vertical="top"/>
      <protection/>
    </xf>
    <xf numFmtId="0" fontId="2" fillId="0" borderId="29" xfId="54" applyFont="1" applyBorder="1" applyAlignment="1">
      <alignment horizontal="center"/>
      <protection/>
    </xf>
    <xf numFmtId="0" fontId="2" fillId="0" borderId="23" xfId="54" applyFont="1" applyBorder="1">
      <alignment/>
      <protection/>
    </xf>
    <xf numFmtId="164" fontId="2" fillId="0" borderId="81" xfId="42" applyNumberFormat="1" applyFont="1" applyBorder="1" applyAlignment="1">
      <alignment horizontal="right" wrapText="1"/>
    </xf>
    <xf numFmtId="164" fontId="2" fillId="0" borderId="29" xfId="42" applyNumberFormat="1" applyFont="1" applyBorder="1" applyAlignment="1">
      <alignment horizontal="right" wrapText="1"/>
    </xf>
    <xf numFmtId="164" fontId="2" fillId="0" borderId="82" xfId="42" applyNumberFormat="1" applyFont="1" applyBorder="1" applyAlignment="1">
      <alignment horizontal="right" wrapText="1"/>
    </xf>
    <xf numFmtId="41" fontId="1" fillId="0" borderId="81" xfId="42" applyNumberFormat="1" applyFont="1" applyBorder="1" applyAlignment="1">
      <alignment horizontal="right" wrapText="1"/>
    </xf>
    <xf numFmtId="41" fontId="2" fillId="0" borderId="29" xfId="42" applyNumberFormat="1" applyFont="1" applyBorder="1" applyAlignment="1">
      <alignment horizontal="right" wrapText="1"/>
    </xf>
    <xf numFmtId="41" fontId="2" fillId="0" borderId="82" xfId="42" applyNumberFormat="1" applyFont="1" applyBorder="1" applyAlignment="1">
      <alignment horizontal="right" wrapText="1"/>
    </xf>
    <xf numFmtId="0" fontId="1" fillId="0" borderId="70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24" xfId="42" applyNumberFormat="1" applyFont="1" applyBorder="1" applyAlignment="1">
      <alignment horizontal="right" wrapText="1"/>
    </xf>
    <xf numFmtId="164" fontId="1" fillId="0" borderId="17" xfId="42" applyNumberFormat="1" applyFont="1" applyBorder="1" applyAlignment="1">
      <alignment horizontal="right" wrapText="1"/>
    </xf>
    <xf numFmtId="0" fontId="2" fillId="0" borderId="37" xfId="54" applyFont="1" applyBorder="1" applyAlignment="1">
      <alignment horizontal="center" vertical="top"/>
      <protection/>
    </xf>
    <xf numFmtId="0" fontId="2" fillId="0" borderId="0" xfId="54" applyFont="1" applyBorder="1" applyAlignment="1">
      <alignment vertical="center" wrapText="1"/>
      <protection/>
    </xf>
    <xf numFmtId="164" fontId="2" fillId="0" borderId="0" xfId="42" applyNumberFormat="1" applyFont="1" applyBorder="1" applyAlignment="1">
      <alignment horizontal="right" wrapText="1"/>
    </xf>
    <xf numFmtId="0" fontId="2" fillId="0" borderId="70" xfId="54" applyFont="1" applyBorder="1">
      <alignment/>
      <protection/>
    </xf>
    <xf numFmtId="164" fontId="2" fillId="0" borderId="19" xfId="54" applyNumberFormat="1" applyFont="1" applyBorder="1" applyAlignment="1">
      <alignment horizontal="right" wrapText="1"/>
      <protection/>
    </xf>
    <xf numFmtId="164" fontId="1" fillId="0" borderId="20" xfId="54" applyNumberFormat="1" applyFont="1" applyBorder="1" applyAlignment="1">
      <alignment horizontal="right" wrapText="1"/>
      <protection/>
    </xf>
    <xf numFmtId="164" fontId="1" fillId="0" borderId="19" xfId="54" applyNumberFormat="1" applyFont="1" applyBorder="1" applyAlignment="1">
      <alignment horizontal="right" wrapText="1"/>
      <protection/>
    </xf>
    <xf numFmtId="164" fontId="2" fillId="0" borderId="83" xfId="54" applyNumberFormat="1" applyFont="1" applyBorder="1" applyAlignment="1">
      <alignment horizontal="right" wrapText="1"/>
      <protection/>
    </xf>
    <xf numFmtId="0" fontId="0" fillId="0" borderId="26" xfId="0" applyFont="1" applyBorder="1" applyAlignment="1">
      <alignment horizontal="left" vertical="center" wrapText="1"/>
    </xf>
    <xf numFmtId="164" fontId="2" fillId="0" borderId="0" xfId="54" applyNumberFormat="1" applyFont="1" applyBorder="1" applyAlignment="1">
      <alignment horizontal="right" wrapText="1"/>
      <protection/>
    </xf>
    <xf numFmtId="164" fontId="2" fillId="0" borderId="21" xfId="54" applyNumberFormat="1" applyFont="1" applyBorder="1" applyAlignment="1">
      <alignment horizontal="right" wrapText="1"/>
      <protection/>
    </xf>
    <xf numFmtId="0" fontId="2" fillId="0" borderId="59" xfId="54" applyFont="1" applyBorder="1">
      <alignment/>
      <protection/>
    </xf>
    <xf numFmtId="164" fontId="1" fillId="0" borderId="84" xfId="54" applyNumberFormat="1" applyFont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42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top"/>
    </xf>
    <xf numFmtId="0" fontId="1" fillId="33" borderId="6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" fillId="0" borderId="17" xfId="42" applyNumberFormat="1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/>
    </xf>
    <xf numFmtId="164" fontId="2" fillId="0" borderId="61" xfId="42" applyNumberFormat="1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/>
    </xf>
    <xf numFmtId="164" fontId="2" fillId="0" borderId="14" xfId="42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/>
    </xf>
    <xf numFmtId="164" fontId="2" fillId="0" borderId="88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9" xfId="0" applyFont="1" applyBorder="1" applyAlignment="1">
      <alignment vertical="center" wrapText="1"/>
    </xf>
    <xf numFmtId="164" fontId="2" fillId="0" borderId="16" xfId="42" applyNumberFormat="1" applyFont="1" applyBorder="1" applyAlignment="1">
      <alignment vertical="center"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30" fillId="0" borderId="0" xfId="0" applyFont="1" applyAlignment="1">
      <alignment horizontal="right" vertical="center"/>
    </xf>
    <xf numFmtId="0" fontId="13" fillId="33" borderId="57" xfId="0" applyFont="1" applyFill="1" applyBorder="1" applyAlignment="1">
      <alignment horizontal="center"/>
    </xf>
    <xf numFmtId="0" fontId="15" fillId="33" borderId="61" xfId="53" applyFont="1" applyFill="1" applyBorder="1" applyAlignment="1">
      <alignment horizontal="center" vertical="center" wrapText="1"/>
      <protection/>
    </xf>
    <xf numFmtId="0" fontId="5" fillId="33" borderId="69" xfId="53" applyFont="1" applyFill="1" applyBorder="1" applyAlignment="1">
      <alignment horizontal="center" vertical="center" wrapText="1"/>
      <protection/>
    </xf>
    <xf numFmtId="0" fontId="5" fillId="33" borderId="44" xfId="53" applyFont="1" applyFill="1" applyBorder="1" applyAlignment="1">
      <alignment horizontal="center" vertical="center" wrapText="1"/>
      <protection/>
    </xf>
    <xf numFmtId="0" fontId="5" fillId="33" borderId="4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left" vertical="center" wrapText="1"/>
      <protection/>
    </xf>
    <xf numFmtId="164" fontId="15" fillId="0" borderId="15" xfId="42" applyNumberFormat="1" applyFont="1" applyBorder="1" applyAlignment="1">
      <alignment horizontal="right" wrapText="1"/>
    </xf>
    <xf numFmtId="164" fontId="15" fillId="0" borderId="17" xfId="42" applyNumberFormat="1" applyFont="1" applyBorder="1" applyAlignment="1">
      <alignment horizontal="right" wrapText="1"/>
    </xf>
    <xf numFmtId="0" fontId="4" fillId="0" borderId="57" xfId="53" applyFont="1" applyBorder="1" applyAlignment="1">
      <alignment horizontal="center"/>
      <protection/>
    </xf>
    <xf numFmtId="0" fontId="4" fillId="0" borderId="57" xfId="53" applyFont="1" applyFill="1" applyBorder="1" applyAlignment="1">
      <alignment horizontal="center"/>
      <protection/>
    </xf>
    <xf numFmtId="0" fontId="4" fillId="0" borderId="64" xfId="53" applyFont="1" applyFill="1" applyBorder="1" applyAlignment="1">
      <alignment horizontal="center"/>
      <protection/>
    </xf>
    <xf numFmtId="164" fontId="4" fillId="0" borderId="57" xfId="42" applyNumberFormat="1" applyFont="1" applyFill="1" applyBorder="1" applyAlignment="1">
      <alignment horizontal="right" vertical="center" wrapText="1"/>
    </xf>
    <xf numFmtId="164" fontId="4" fillId="0" borderId="61" xfId="42" applyNumberFormat="1" applyFont="1" applyFill="1" applyBorder="1" applyAlignment="1">
      <alignment horizontal="right" vertical="center" wrapText="1"/>
    </xf>
    <xf numFmtId="0" fontId="4" fillId="0" borderId="0" xfId="53" applyFont="1" applyFill="1">
      <alignment/>
      <protection/>
    </xf>
    <xf numFmtId="164" fontId="1" fillId="0" borderId="60" xfId="42" applyNumberFormat="1" applyFont="1" applyBorder="1" applyAlignment="1">
      <alignment horizontal="right" vertical="center" wrapText="1"/>
    </xf>
    <xf numFmtId="164" fontId="1" fillId="0" borderId="18" xfId="4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33" borderId="5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7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/>
    </xf>
    <xf numFmtId="164" fontId="2" fillId="0" borderId="37" xfId="42" applyNumberFormat="1" applyFont="1" applyBorder="1" applyAlignment="1">
      <alignment horizontal="right" vertical="center" wrapText="1"/>
    </xf>
    <xf numFmtId="0" fontId="2" fillId="0" borderId="38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37" xfId="42" applyNumberFormat="1" applyFont="1" applyFill="1" applyBorder="1" applyAlignment="1">
      <alignment horizontal="right" vertical="center" wrapText="1"/>
    </xf>
    <xf numFmtId="164" fontId="2" fillId="0" borderId="38" xfId="42" applyNumberFormat="1" applyFont="1" applyFill="1" applyBorder="1" applyAlignment="1">
      <alignment horizontal="right" vertical="center" wrapText="1"/>
    </xf>
    <xf numFmtId="0" fontId="2" fillId="0" borderId="89" xfId="0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32" xfId="42" applyNumberFormat="1" applyFont="1" applyBorder="1" applyAlignment="1">
      <alignment horizontal="right" vertical="center" wrapText="1"/>
    </xf>
    <xf numFmtId="0" fontId="1" fillId="0" borderId="5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right" vertical="center" wrapText="1"/>
    </xf>
    <xf numFmtId="164" fontId="1" fillId="0" borderId="25" xfId="4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55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wrapText="1"/>
    </xf>
    <xf numFmtId="3" fontId="2" fillId="0" borderId="38" xfId="0" applyNumberFormat="1" applyFont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37" xfId="0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/>
    </xf>
    <xf numFmtId="3" fontId="2" fillId="0" borderId="32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164" fontId="2" fillId="0" borderId="21" xfId="42" applyNumberFormat="1" applyFont="1" applyFill="1" applyBorder="1" applyAlignment="1">
      <alignment horizontal="right" vertical="center" wrapText="1"/>
    </xf>
    <xf numFmtId="164" fontId="2" fillId="0" borderId="34" xfId="42" applyNumberFormat="1" applyFont="1" applyBorder="1" applyAlignment="1">
      <alignment horizontal="right" vertical="center" wrapText="1"/>
    </xf>
    <xf numFmtId="0" fontId="4" fillId="0" borderId="19" xfId="53" applyFont="1" applyBorder="1" applyAlignment="1">
      <alignment horizontal="center" vertical="top" wrapText="1"/>
      <protection/>
    </xf>
    <xf numFmtId="0" fontId="15" fillId="33" borderId="57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37" xfId="53" applyFont="1" applyFill="1" applyBorder="1" applyAlignment="1">
      <alignment horizontal="center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164" fontId="5" fillId="0" borderId="37" xfId="42" applyNumberFormat="1" applyFont="1" applyFill="1" applyBorder="1" applyAlignment="1">
      <alignment horizontal="center" vertical="center" wrapText="1"/>
    </xf>
    <xf numFmtId="164" fontId="5" fillId="0" borderId="21" xfId="42" applyNumberFormat="1" applyFont="1" applyFill="1" applyBorder="1" applyAlignment="1">
      <alignment horizontal="center" vertical="center" wrapText="1"/>
    </xf>
    <xf numFmtId="0" fontId="4" fillId="0" borderId="20" xfId="53" applyFont="1" applyBorder="1" applyAlignment="1">
      <alignment horizontal="center" vertical="top" wrapText="1"/>
      <protection/>
    </xf>
    <xf numFmtId="0" fontId="15" fillId="0" borderId="15" xfId="53" applyFont="1" applyBorder="1">
      <alignment/>
      <protection/>
    </xf>
    <xf numFmtId="164" fontId="4" fillId="0" borderId="0" xfId="53" applyNumberFormat="1" applyFont="1">
      <alignment/>
      <protection/>
    </xf>
    <xf numFmtId="49" fontId="0" fillId="0" borderId="57" xfId="0" applyNumberFormat="1" applyFont="1" applyBorder="1" applyAlignment="1">
      <alignment horizontal="center" vertical="center" wrapText="1"/>
    </xf>
    <xf numFmtId="164" fontId="4" fillId="0" borderId="0" xfId="42" applyNumberFormat="1" applyFont="1" applyAlignment="1">
      <alignment/>
    </xf>
    <xf numFmtId="164" fontId="4" fillId="0" borderId="0" xfId="42" applyNumberFormat="1" applyFont="1" applyFill="1" applyAlignment="1">
      <alignment/>
    </xf>
    <xf numFmtId="3" fontId="11" fillId="34" borderId="32" xfId="0" applyNumberFormat="1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/>
    </xf>
    <xf numFmtId="164" fontId="2" fillId="0" borderId="57" xfId="42" applyNumberFormat="1" applyFont="1" applyFill="1" applyBorder="1" applyAlignment="1">
      <alignment horizontal="left" vertical="center" wrapText="1"/>
    </xf>
    <xf numFmtId="164" fontId="2" fillId="0" borderId="57" xfId="42" applyNumberFormat="1" applyFont="1" applyFill="1" applyBorder="1" applyAlignment="1">
      <alignment horizontal="right" vertical="center" wrapText="1"/>
    </xf>
    <xf numFmtId="164" fontId="2" fillId="0" borderId="61" xfId="42" applyNumberFormat="1" applyFont="1" applyFill="1" applyBorder="1" applyAlignment="1">
      <alignment horizontal="right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164" fontId="1" fillId="34" borderId="77" xfId="42" applyNumberFormat="1" applyFont="1" applyFill="1" applyBorder="1" applyAlignment="1">
      <alignment horizontal="right" vertical="center" wrapText="1"/>
    </xf>
    <xf numFmtId="164" fontId="2" fillId="0" borderId="43" xfId="42" applyNumberFormat="1" applyFont="1" applyFill="1" applyBorder="1" applyAlignment="1">
      <alignment horizontal="right" vertical="center" wrapText="1"/>
    </xf>
    <xf numFmtId="0" fontId="5" fillId="35" borderId="32" xfId="0" applyFont="1" applyFill="1" applyBorder="1" applyAlignment="1">
      <alignment horizontal="center" vertical="center" wrapText="1"/>
    </xf>
    <xf numFmtId="164" fontId="1" fillId="34" borderId="70" xfId="42" applyNumberFormat="1" applyFont="1" applyFill="1" applyBorder="1" applyAlignment="1">
      <alignment horizontal="right" vertical="center" wrapText="1"/>
    </xf>
    <xf numFmtId="164" fontId="2" fillId="0" borderId="64" xfId="42" applyNumberFormat="1" applyFont="1" applyFill="1" applyBorder="1" applyAlignment="1">
      <alignment horizontal="right" vertical="center" wrapText="1"/>
    </xf>
    <xf numFmtId="164" fontId="1" fillId="0" borderId="34" xfId="0" applyNumberFormat="1" applyFont="1" applyBorder="1" applyAlignment="1">
      <alignment horizontal="right" wrapText="1"/>
    </xf>
    <xf numFmtId="164" fontId="15" fillId="0" borderId="0" xfId="0" applyNumberFormat="1" applyFont="1" applyAlignment="1">
      <alignment horizontal="right"/>
    </xf>
    <xf numFmtId="9" fontId="4" fillId="0" borderId="0" xfId="58" applyFont="1" applyAlignment="1">
      <alignment/>
    </xf>
    <xf numFmtId="164" fontId="4" fillId="34" borderId="0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Alignment="1">
      <alignment horizontal="right" vertical="center" wrapText="1"/>
    </xf>
    <xf numFmtId="164" fontId="15" fillId="0" borderId="0" xfId="0" applyNumberFormat="1" applyFont="1" applyAlignment="1">
      <alignment/>
    </xf>
    <xf numFmtId="164" fontId="1" fillId="34" borderId="0" xfId="42" applyNumberFormat="1" applyFont="1" applyFill="1" applyBorder="1" applyAlignment="1">
      <alignment horizontal="right" vertical="center" wrapText="1"/>
    </xf>
    <xf numFmtId="164" fontId="1" fillId="34" borderId="0" xfId="42" applyNumberFormat="1" applyFont="1" applyFill="1" applyBorder="1" applyAlignment="1">
      <alignment horizontal="center" vertical="center" wrapText="1"/>
    </xf>
    <xf numFmtId="164" fontId="31" fillId="0" borderId="0" xfId="0" applyNumberFormat="1" applyFont="1" applyAlignment="1">
      <alignment/>
    </xf>
    <xf numFmtId="164" fontId="1" fillId="0" borderId="62" xfId="42" applyNumberFormat="1" applyFont="1" applyFill="1" applyBorder="1" applyAlignment="1">
      <alignment horizontal="left" vertical="center" wrapText="1"/>
    </xf>
    <xf numFmtId="164" fontId="1" fillId="0" borderId="62" xfId="42" applyNumberFormat="1" applyFont="1" applyFill="1" applyBorder="1" applyAlignment="1">
      <alignment horizontal="right" vertical="center" wrapText="1"/>
    </xf>
    <xf numFmtId="164" fontId="1" fillId="0" borderId="77" xfId="42" applyNumberFormat="1" applyFont="1" applyFill="1" applyBorder="1" applyAlignment="1">
      <alignment horizontal="right" vertical="center" wrapText="1"/>
    </xf>
    <xf numFmtId="164" fontId="1" fillId="0" borderId="63" xfId="42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31" fillId="0" borderId="0" xfId="0" applyNumberFormat="1" applyFont="1" applyFill="1" applyAlignment="1">
      <alignment/>
    </xf>
    <xf numFmtId="164" fontId="1" fillId="0" borderId="0" xfId="42" applyNumberFormat="1" applyFont="1" applyFill="1" applyBorder="1" applyAlignment="1">
      <alignment horizontal="right" vertical="center" wrapText="1"/>
    </xf>
    <xf numFmtId="164" fontId="2" fillId="0" borderId="0" xfId="42" applyNumberFormat="1" applyFont="1" applyBorder="1" applyAlignment="1">
      <alignment horizontal="right" vertical="center" wrapText="1"/>
    </xf>
    <xf numFmtId="164" fontId="2" fillId="0" borderId="0" xfId="42" applyNumberFormat="1" applyFont="1" applyFill="1" applyBorder="1" applyAlignment="1">
      <alignment horizontal="right" vertical="center" wrapText="1"/>
    </xf>
    <xf numFmtId="164" fontId="2" fillId="0" borderId="21" xfId="4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90" xfId="0" applyFont="1" applyBorder="1" applyAlignment="1">
      <alignment/>
    </xf>
    <xf numFmtId="0" fontId="0" fillId="0" borderId="6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4" fontId="13" fillId="0" borderId="15" xfId="42" applyNumberFormat="1" applyFont="1" applyBorder="1" applyAlignment="1">
      <alignment horizontal="right" vertical="center" wrapText="1"/>
    </xf>
    <xf numFmtId="164" fontId="13" fillId="0" borderId="17" xfId="42" applyNumberFormat="1" applyFont="1" applyBorder="1" applyAlignment="1">
      <alignment horizontal="right" vertical="center" wrapText="1"/>
    </xf>
    <xf numFmtId="0" fontId="1" fillId="0" borderId="55" xfId="54" applyFont="1" applyBorder="1" applyAlignment="1">
      <alignment horizontal="center" vertical="top"/>
      <protection/>
    </xf>
    <xf numFmtId="0" fontId="1" fillId="0" borderId="0" xfId="54" applyFont="1">
      <alignment/>
      <protection/>
    </xf>
    <xf numFmtId="0" fontId="1" fillId="0" borderId="15" xfId="54" applyFont="1" applyBorder="1" applyAlignment="1">
      <alignment horizontal="center"/>
      <protection/>
    </xf>
    <xf numFmtId="0" fontId="1" fillId="0" borderId="24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20" xfId="54" applyNumberFormat="1" applyFont="1" applyBorder="1" applyAlignment="1">
      <alignment horizontal="right" wrapText="1"/>
      <protection/>
    </xf>
    <xf numFmtId="0" fontId="2" fillId="0" borderId="13" xfId="54" applyFont="1" applyBorder="1" applyAlignment="1">
      <alignment horizontal="center"/>
      <protection/>
    </xf>
    <xf numFmtId="0" fontId="1" fillId="0" borderId="20" xfId="54" applyFont="1" applyBorder="1" applyAlignment="1">
      <alignment horizontal="center" vertical="top"/>
      <protection/>
    </xf>
    <xf numFmtId="0" fontId="1" fillId="0" borderId="24" xfId="54" applyFont="1" applyBorder="1">
      <alignment/>
      <protection/>
    </xf>
    <xf numFmtId="0" fontId="0" fillId="0" borderId="59" xfId="0" applyFont="1" applyBorder="1" applyAlignment="1">
      <alignment horizontal="left" vertical="center" wrapText="1"/>
    </xf>
    <xf numFmtId="0" fontId="1" fillId="0" borderId="12" xfId="54" applyFont="1" applyBorder="1" applyAlignment="1">
      <alignment horizontal="center"/>
      <protection/>
    </xf>
    <xf numFmtId="0" fontId="13" fillId="0" borderId="26" xfId="0" applyFont="1" applyBorder="1" applyAlignment="1">
      <alignment horizontal="left" vertical="center" wrapText="1"/>
    </xf>
    <xf numFmtId="164" fontId="1" fillId="0" borderId="0" xfId="54" applyNumberFormat="1" applyFont="1" applyBorder="1" applyAlignment="1">
      <alignment horizontal="right" wrapText="1"/>
      <protection/>
    </xf>
    <xf numFmtId="164" fontId="2" fillId="0" borderId="0" xfId="54" applyNumberFormat="1" applyFont="1" applyBorder="1" applyAlignment="1">
      <alignment horizontal="right" wrapText="1"/>
      <protection/>
    </xf>
    <xf numFmtId="164" fontId="2" fillId="0" borderId="21" xfId="54" applyNumberFormat="1" applyFont="1" applyBorder="1" applyAlignment="1">
      <alignment horizontal="right" wrapText="1"/>
      <protection/>
    </xf>
    <xf numFmtId="164" fontId="32" fillId="38" borderId="0" xfId="0" applyNumberFormat="1" applyFont="1" applyFill="1" applyAlignment="1">
      <alignment/>
    </xf>
    <xf numFmtId="0" fontId="2" fillId="0" borderId="38" xfId="54" applyFont="1" applyBorder="1">
      <alignment/>
      <protection/>
    </xf>
    <xf numFmtId="0" fontId="5" fillId="33" borderId="69" xfId="54" applyFont="1" applyFill="1" applyBorder="1" applyAlignment="1">
      <alignment horizontal="center"/>
      <protection/>
    </xf>
    <xf numFmtId="164" fontId="32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/>
    </xf>
    <xf numFmtId="0" fontId="5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3" fontId="4" fillId="0" borderId="0" xfId="53" applyNumberFormat="1" applyFont="1">
      <alignment/>
      <protection/>
    </xf>
    <xf numFmtId="16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30" fillId="0" borderId="0" xfId="53" applyFont="1" applyAlignment="1">
      <alignment horizontal="right"/>
      <protection/>
    </xf>
    <xf numFmtId="0" fontId="15" fillId="33" borderId="57" xfId="53" applyFont="1" applyFill="1" applyBorder="1" applyAlignment="1">
      <alignment horizontal="center" vertical="center" wrapText="1"/>
      <protection/>
    </xf>
    <xf numFmtId="0" fontId="15" fillId="33" borderId="29" xfId="53" applyFont="1" applyFill="1" applyBorder="1" applyAlignment="1">
      <alignment horizontal="center" vertical="center" wrapText="1"/>
      <protection/>
    </xf>
    <xf numFmtId="0" fontId="15" fillId="33" borderId="61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5" fillId="33" borderId="56" xfId="53" applyFont="1" applyFill="1" applyBorder="1" applyAlignment="1">
      <alignment horizontal="center" vertical="center" wrapText="1"/>
      <protection/>
    </xf>
    <xf numFmtId="0" fontId="5" fillId="33" borderId="9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40" xfId="53" applyFont="1" applyFill="1" applyBorder="1" applyAlignment="1">
      <alignment horizontal="center" vertical="center" wrapText="1"/>
      <protection/>
    </xf>
    <xf numFmtId="0" fontId="5" fillId="33" borderId="91" xfId="53" applyFont="1" applyFill="1" applyBorder="1" applyAlignment="1">
      <alignment horizontal="center" vertical="center" wrapText="1"/>
      <protection/>
    </xf>
    <xf numFmtId="0" fontId="5" fillId="33" borderId="40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33" borderId="44" xfId="53" applyFont="1" applyFill="1" applyBorder="1" applyAlignment="1">
      <alignment horizontal="center" vertical="center" wrapText="1"/>
      <protection/>
    </xf>
    <xf numFmtId="0" fontId="5" fillId="33" borderId="92" xfId="53" applyFont="1" applyFill="1" applyBorder="1" applyAlignment="1">
      <alignment horizontal="center"/>
      <protection/>
    </xf>
    <xf numFmtId="164" fontId="15" fillId="0" borderId="93" xfId="53" applyNumberFormat="1" applyFont="1" applyBorder="1" applyAlignment="1">
      <alignment horizontal="right" vertical="center" wrapText="1"/>
      <protection/>
    </xf>
    <xf numFmtId="164" fontId="15" fillId="0" borderId="62" xfId="53" applyNumberFormat="1" applyFont="1" applyBorder="1" applyAlignment="1">
      <alignment horizontal="right" vertical="center" wrapText="1"/>
      <protection/>
    </xf>
    <xf numFmtId="164" fontId="15" fillId="0" borderId="65" xfId="53" applyNumberFormat="1" applyFont="1" applyBorder="1" applyAlignment="1">
      <alignment horizontal="right" vertical="center" wrapText="1"/>
      <protection/>
    </xf>
    <xf numFmtId="164" fontId="15" fillId="0" borderId="63" xfId="53" applyNumberFormat="1" applyFont="1" applyBorder="1" applyAlignment="1">
      <alignment horizontal="right" vertical="center" wrapText="1"/>
      <protection/>
    </xf>
    <xf numFmtId="164" fontId="15" fillId="0" borderId="79" xfId="53" applyNumberFormat="1" applyFont="1" applyBorder="1" applyAlignment="1">
      <alignment horizontal="right" vertical="center" wrapText="1"/>
      <protection/>
    </xf>
    <xf numFmtId="164" fontId="15" fillId="0" borderId="77" xfId="53" applyNumberFormat="1" applyFont="1" applyBorder="1" applyAlignment="1">
      <alignment horizontal="right" vertical="center" wrapText="1"/>
      <protection/>
    </xf>
    <xf numFmtId="41" fontId="15" fillId="0" borderId="80" xfId="42" applyNumberFormat="1" applyFont="1" applyBorder="1" applyAlignment="1">
      <alignment horizontal="right" vertical="center" wrapText="1"/>
    </xf>
    <xf numFmtId="0" fontId="4" fillId="0" borderId="61" xfId="53" applyFont="1" applyBorder="1" applyAlignment="1">
      <alignment horizontal="center" vertical="center" wrapText="1"/>
      <protection/>
    </xf>
    <xf numFmtId="3" fontId="4" fillId="0" borderId="76" xfId="53" applyNumberFormat="1" applyFont="1" applyBorder="1" applyAlignment="1">
      <alignment horizontal="right" vertical="center" wrapText="1"/>
      <protection/>
    </xf>
    <xf numFmtId="164" fontId="4" fillId="0" borderId="57" xfId="53" applyNumberFormat="1" applyFont="1" applyBorder="1" applyAlignment="1">
      <alignment horizontal="right" vertical="center" wrapText="1"/>
      <protection/>
    </xf>
    <xf numFmtId="164" fontId="4" fillId="0" borderId="66" xfId="42" applyNumberFormat="1" applyFont="1" applyBorder="1" applyAlignment="1">
      <alignment horizontal="right" vertical="center" wrapText="1"/>
    </xf>
    <xf numFmtId="164" fontId="4" fillId="0" borderId="57" xfId="42" applyNumberFormat="1" applyFont="1" applyBorder="1" applyAlignment="1">
      <alignment horizontal="right" vertical="center" wrapText="1"/>
    </xf>
    <xf numFmtId="164" fontId="4" fillId="0" borderId="17" xfId="42" applyNumberFormat="1" applyFont="1" applyBorder="1" applyAlignment="1">
      <alignment horizontal="right" vertical="center" wrapText="1"/>
    </xf>
    <xf numFmtId="164" fontId="4" fillId="0" borderId="24" xfId="42" applyNumberFormat="1" applyFont="1" applyBorder="1" applyAlignment="1">
      <alignment horizontal="right" vertical="center" wrapText="1"/>
    </xf>
    <xf numFmtId="3" fontId="4" fillId="0" borderId="15" xfId="42" applyNumberFormat="1" applyFont="1" applyBorder="1" applyAlignment="1">
      <alignment horizontal="right" vertical="center" wrapText="1"/>
    </xf>
    <xf numFmtId="3" fontId="4" fillId="0" borderId="57" xfId="42" applyNumberFormat="1" applyFont="1" applyBorder="1" applyAlignment="1">
      <alignment horizontal="right" vertical="center" wrapText="1"/>
    </xf>
    <xf numFmtId="41" fontId="4" fillId="0" borderId="71" xfId="42" applyNumberFormat="1" applyFont="1" applyBorder="1" applyAlignment="1">
      <alignment horizontal="right" vertical="center" wrapText="1"/>
    </xf>
    <xf numFmtId="164" fontId="15" fillId="0" borderId="72" xfId="53" applyNumberFormat="1" applyFont="1" applyBorder="1" applyAlignment="1">
      <alignment horizontal="right" vertical="center" wrapText="1"/>
      <protection/>
    </xf>
    <xf numFmtId="164" fontId="15" fillId="0" borderId="60" xfId="53" applyNumberFormat="1" applyFont="1" applyBorder="1" applyAlignment="1">
      <alignment horizontal="right" vertical="center" wrapText="1"/>
      <protection/>
    </xf>
    <xf numFmtId="164" fontId="15" fillId="0" borderId="18" xfId="53" applyNumberFormat="1" applyFont="1" applyBorder="1" applyAlignment="1">
      <alignment horizontal="right" vertical="center" wrapText="1"/>
      <protection/>
    </xf>
    <xf numFmtId="3" fontId="4" fillId="0" borderId="55" xfId="53" applyNumberFormat="1" applyFont="1" applyBorder="1" applyAlignment="1">
      <alignment horizontal="right" vertical="center" wrapText="1"/>
      <protection/>
    </xf>
    <xf numFmtId="164" fontId="4" fillId="0" borderId="37" xfId="53" applyNumberFormat="1" applyFont="1" applyBorder="1" applyAlignment="1">
      <alignment horizontal="right" vertical="center" wrapText="1"/>
      <protection/>
    </xf>
    <xf numFmtId="164" fontId="4" fillId="0" borderId="12" xfId="42" applyNumberFormat="1" applyFont="1" applyBorder="1" applyAlignment="1">
      <alignment horizontal="right" vertical="center" wrapText="1"/>
    </xf>
    <xf numFmtId="164" fontId="4" fillId="0" borderId="37" xfId="42" applyNumberFormat="1" applyFont="1" applyBorder="1" applyAlignment="1">
      <alignment horizontal="right" vertical="center" wrapText="1"/>
    </xf>
    <xf numFmtId="164" fontId="4" fillId="0" borderId="0" xfId="42" applyNumberFormat="1" applyFont="1" applyBorder="1" applyAlignment="1">
      <alignment horizontal="right" vertical="center" wrapText="1"/>
    </xf>
    <xf numFmtId="3" fontId="4" fillId="0" borderId="37" xfId="42" applyNumberFormat="1" applyFont="1" applyBorder="1" applyAlignment="1">
      <alignment horizontal="right" vertical="center" wrapText="1"/>
    </xf>
    <xf numFmtId="41" fontId="4" fillId="0" borderId="26" xfId="42" applyNumberFormat="1" applyFont="1" applyBorder="1" applyAlignment="1">
      <alignment horizontal="right" vertical="center" wrapText="1"/>
    </xf>
    <xf numFmtId="0" fontId="4" fillId="0" borderId="66" xfId="53" applyFont="1" applyBorder="1" applyAlignment="1">
      <alignment horizontal="center" vertical="center" wrapText="1"/>
      <protection/>
    </xf>
    <xf numFmtId="0" fontId="5" fillId="33" borderId="94" xfId="53" applyFont="1" applyFill="1" applyBorder="1" applyAlignment="1">
      <alignment horizontal="center" vertical="center" wrapText="1"/>
      <protection/>
    </xf>
    <xf numFmtId="0" fontId="15" fillId="0" borderId="92" xfId="53" applyFont="1" applyBorder="1" applyAlignment="1">
      <alignment horizontal="left" vertical="top" wrapText="1"/>
      <protection/>
    </xf>
    <xf numFmtId="0" fontId="5" fillId="33" borderId="55" xfId="53" applyFont="1" applyFill="1" applyBorder="1" applyAlignment="1">
      <alignment horizontal="center" vertical="center" wrapText="1"/>
      <protection/>
    </xf>
    <xf numFmtId="0" fontId="4" fillId="0" borderId="95" xfId="53" applyFont="1" applyBorder="1" applyAlignment="1">
      <alignment horizontal="center" vertical="top" wrapText="1"/>
      <protection/>
    </xf>
    <xf numFmtId="0" fontId="4" fillId="0" borderId="96" xfId="53" applyFont="1" applyBorder="1" applyAlignment="1">
      <alignment horizontal="center" vertical="center" wrapText="1"/>
      <protection/>
    </xf>
    <xf numFmtId="0" fontId="4" fillId="0" borderId="97" xfId="53" applyFont="1" applyBorder="1" applyAlignment="1">
      <alignment horizontal="center" vertical="center" wrapText="1"/>
      <protection/>
    </xf>
    <xf numFmtId="0" fontId="5" fillId="33" borderId="41" xfId="53" applyFont="1" applyFill="1" applyBorder="1" applyAlignment="1">
      <alignment horizontal="center" vertical="center" wrapText="1"/>
      <protection/>
    </xf>
    <xf numFmtId="164" fontId="4" fillId="0" borderId="26" xfId="42" applyNumberFormat="1" applyFont="1" applyBorder="1" applyAlignment="1">
      <alignment horizontal="right" vertical="center" wrapText="1"/>
    </xf>
    <xf numFmtId="164" fontId="15" fillId="0" borderId="73" xfId="53" applyNumberFormat="1" applyFont="1" applyBorder="1" applyAlignment="1">
      <alignment horizontal="right" vertical="center" wrapText="1"/>
      <protection/>
    </xf>
    <xf numFmtId="164" fontId="2" fillId="0" borderId="38" xfId="42" applyNumberFormat="1" applyFont="1" applyBorder="1" applyAlignment="1">
      <alignment horizontal="right" vertical="center" wrapText="1"/>
    </xf>
    <xf numFmtId="164" fontId="2" fillId="0" borderId="33" xfId="42" applyNumberFormat="1" applyFont="1" applyBorder="1" applyAlignment="1">
      <alignment horizontal="right" vertical="center" wrapText="1"/>
    </xf>
    <xf numFmtId="164" fontId="2" fillId="0" borderId="31" xfId="42" applyNumberFormat="1" applyFont="1" applyBorder="1" applyAlignment="1">
      <alignment horizontal="right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164" fontId="2" fillId="0" borderId="20" xfId="42" applyNumberFormat="1" applyFont="1" applyBorder="1" applyAlignment="1">
      <alignment horizontal="right" vertical="center" wrapText="1"/>
    </xf>
    <xf numFmtId="164" fontId="2" fillId="0" borderId="20" xfId="42" applyNumberFormat="1" applyFont="1" applyFill="1" applyBorder="1" applyAlignment="1">
      <alignment horizontal="right" vertical="center" wrapText="1"/>
    </xf>
    <xf numFmtId="164" fontId="2" fillId="0" borderId="30" xfId="42" applyNumberFormat="1" applyFont="1" applyBorder="1" applyAlignment="1">
      <alignment horizontal="right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/>
    </xf>
    <xf numFmtId="164" fontId="1" fillId="0" borderId="56" xfId="42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164" fontId="1" fillId="0" borderId="15" xfId="42" applyNumberFormat="1" applyFont="1" applyFill="1" applyBorder="1" applyAlignment="1">
      <alignment horizontal="left"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64" fontId="1" fillId="0" borderId="70" xfId="42" applyNumberFormat="1" applyFont="1" applyFill="1" applyBorder="1" applyAlignment="1">
      <alignment horizontal="right" vertical="center" wrapText="1"/>
    </xf>
    <xf numFmtId="164" fontId="1" fillId="0" borderId="17" xfId="42" applyNumberFormat="1" applyFont="1" applyFill="1" applyBorder="1" applyAlignment="1">
      <alignment horizontal="right" vertical="center" wrapText="1"/>
    </xf>
    <xf numFmtId="10" fontId="4" fillId="0" borderId="0" xfId="58" applyNumberFormat="1" applyFont="1" applyFill="1" applyAlignment="1">
      <alignment/>
    </xf>
    <xf numFmtId="164" fontId="2" fillId="0" borderId="57" xfId="42" applyNumberFormat="1" applyFont="1" applyFill="1" applyBorder="1" applyAlignment="1">
      <alignment horizontal="right" vertical="center" wrapText="1"/>
    </xf>
    <xf numFmtId="9" fontId="4" fillId="0" borderId="0" xfId="58" applyNumberFormat="1" applyFont="1" applyFill="1" applyAlignment="1">
      <alignment/>
    </xf>
    <xf numFmtId="164" fontId="4" fillId="0" borderId="0" xfId="4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2" fillId="0" borderId="64" xfId="42" applyNumberFormat="1" applyFont="1" applyFill="1" applyBorder="1" applyAlignment="1">
      <alignment horizontal="right" vertical="center" wrapText="1"/>
    </xf>
    <xf numFmtId="164" fontId="2" fillId="0" borderId="61" xfId="42" applyNumberFormat="1" applyFont="1" applyFill="1" applyBorder="1" applyAlignment="1">
      <alignment horizontal="right" vertical="center" wrapText="1"/>
    </xf>
    <xf numFmtId="164" fontId="2" fillId="0" borderId="43" xfId="42" applyNumberFormat="1" applyFont="1" applyFill="1" applyBorder="1" applyAlignment="1">
      <alignment horizontal="right" vertical="center" wrapText="1"/>
    </xf>
    <xf numFmtId="164" fontId="2" fillId="0" borderId="14" xfId="42" applyNumberFormat="1" applyFont="1" applyFill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10" fillId="33" borderId="8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left" vertical="center" wrapText="1"/>
    </xf>
    <xf numFmtId="165" fontId="12" fillId="33" borderId="18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/>
    </xf>
    <xf numFmtId="0" fontId="11" fillId="0" borderId="20" xfId="0" applyFont="1" applyBorder="1" applyAlignment="1">
      <alignment horizontal="center" vertical="center"/>
    </xf>
    <xf numFmtId="49" fontId="23" fillId="0" borderId="37" xfId="0" applyNumberFormat="1" applyFont="1" applyBorder="1" applyAlignment="1">
      <alignment vertical="center" wrapText="1"/>
    </xf>
    <xf numFmtId="165" fontId="23" fillId="0" borderId="21" xfId="0" applyNumberFormat="1" applyFont="1" applyBorder="1" applyAlignment="1">
      <alignment horizontal="right" vertical="center" wrapText="1"/>
    </xf>
    <xf numFmtId="0" fontId="10" fillId="33" borderId="84" xfId="0" applyFont="1" applyFill="1" applyBorder="1" applyAlignment="1">
      <alignment horizontal="center" vertical="center"/>
    </xf>
    <xf numFmtId="165" fontId="10" fillId="33" borderId="18" xfId="0" applyNumberFormat="1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0" fontId="11" fillId="0" borderId="85" xfId="0" applyFont="1" applyBorder="1" applyAlignment="1">
      <alignment horizontal="center" vertical="center"/>
    </xf>
    <xf numFmtId="0" fontId="23" fillId="0" borderId="57" xfId="0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0" fontId="23" fillId="0" borderId="5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3" fontId="4" fillId="0" borderId="82" xfId="0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0" fontId="12" fillId="33" borderId="60" xfId="0" applyFont="1" applyFill="1" applyBorder="1" applyAlignment="1">
      <alignment horizontal="left" vertical="center"/>
    </xf>
    <xf numFmtId="3" fontId="10" fillId="33" borderId="18" xfId="0" applyNumberFormat="1" applyFont="1" applyFill="1" applyBorder="1" applyAlignment="1">
      <alignment vertical="center" wrapText="1"/>
    </xf>
    <xf numFmtId="0" fontId="11" fillId="33" borderId="79" xfId="52" applyFont="1" applyFill="1" applyBorder="1" applyAlignment="1">
      <alignment vertical="center" wrapText="1"/>
      <protection/>
    </xf>
    <xf numFmtId="3" fontId="10" fillId="33" borderId="63" xfId="0" applyNumberFormat="1" applyFont="1" applyFill="1" applyBorder="1" applyAlignment="1">
      <alignment vertical="center" wrapText="1"/>
    </xf>
    <xf numFmtId="0" fontId="11" fillId="33" borderId="45" xfId="52" applyFont="1" applyFill="1" applyBorder="1" applyAlignment="1">
      <alignment vertical="center" wrapText="1"/>
      <protection/>
    </xf>
    <xf numFmtId="3" fontId="10" fillId="33" borderId="25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1" fillId="0" borderId="83" xfId="0" applyFont="1" applyBorder="1" applyAlignment="1">
      <alignment horizontal="center" vertical="center"/>
    </xf>
    <xf numFmtId="0" fontId="11" fillId="0" borderId="24" xfId="52" applyFont="1" applyBorder="1" applyAlignment="1">
      <alignment vertical="center" wrapText="1"/>
      <protection/>
    </xf>
    <xf numFmtId="3" fontId="11" fillId="0" borderId="61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10" fillId="0" borderId="61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64" xfId="52" applyFont="1" applyBorder="1" applyAlignment="1">
      <alignment vertical="center" wrapText="1"/>
      <protection/>
    </xf>
    <xf numFmtId="0" fontId="11" fillId="0" borderId="8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7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3" fontId="10" fillId="0" borderId="61" xfId="0" applyNumberFormat="1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75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91" xfId="0" applyFont="1" applyFill="1" applyBorder="1" applyAlignment="1">
      <alignment horizontal="left" vertical="center" wrapText="1"/>
    </xf>
    <xf numFmtId="3" fontId="10" fillId="33" borderId="25" xfId="0" applyNumberFormat="1" applyFont="1" applyFill="1" applyBorder="1" applyAlignment="1">
      <alignment vertical="center" wrapText="1"/>
    </xf>
    <xf numFmtId="0" fontId="11" fillId="0" borderId="84" xfId="0" applyFont="1" applyBorder="1" applyAlignment="1">
      <alignment horizontal="center" vertical="center"/>
    </xf>
    <xf numFmtId="49" fontId="23" fillId="0" borderId="60" xfId="0" applyNumberFormat="1" applyFont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3" fontId="11" fillId="0" borderId="17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22" fillId="34" borderId="38" xfId="0" applyNumberFormat="1" applyFont="1" applyFill="1" applyBorder="1" applyAlignment="1">
      <alignment horizontal="right" vertical="center" wrapText="1"/>
    </xf>
    <xf numFmtId="0" fontId="10" fillId="0" borderId="31" xfId="52" applyFont="1" applyBorder="1" applyAlignment="1">
      <alignment vertical="center" wrapText="1"/>
      <protection/>
    </xf>
    <xf numFmtId="3" fontId="11" fillId="34" borderId="37" xfId="0" applyNumberFormat="1" applyFont="1" applyFill="1" applyBorder="1" applyAlignment="1">
      <alignment vertical="center" wrapText="1"/>
    </xf>
    <xf numFmtId="3" fontId="11" fillId="34" borderId="37" xfId="0" applyNumberFormat="1" applyFont="1" applyFill="1" applyBorder="1" applyAlignment="1">
      <alignment vertical="center" wrapText="1"/>
    </xf>
    <xf numFmtId="3" fontId="11" fillId="34" borderId="38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 wrapText="1"/>
    </xf>
    <xf numFmtId="3" fontId="10" fillId="35" borderId="36" xfId="0" applyNumberFormat="1" applyFont="1" applyFill="1" applyBorder="1" applyAlignment="1">
      <alignment horizontal="right" vertical="center" wrapText="1"/>
    </xf>
    <xf numFmtId="9" fontId="11" fillId="0" borderId="34" xfId="0" applyNumberFormat="1" applyFont="1" applyBorder="1" applyAlignment="1">
      <alignment horizontal="center"/>
    </xf>
    <xf numFmtId="0" fontId="11" fillId="0" borderId="37" xfId="0" applyFont="1" applyFill="1" applyBorder="1" applyAlignment="1">
      <alignment horizontal="left" vertical="center" wrapText="1"/>
    </xf>
    <xf numFmtId="3" fontId="11" fillId="34" borderId="33" xfId="0" applyNumberFormat="1" applyFont="1" applyFill="1" applyBorder="1" applyAlignment="1">
      <alignment horizontal="right" vertical="center" wrapText="1"/>
    </xf>
    <xf numFmtId="3" fontId="11" fillId="34" borderId="52" xfId="0" applyNumberFormat="1" applyFont="1" applyFill="1" applyBorder="1" applyAlignment="1">
      <alignment horizontal="right" vertical="center" wrapText="1"/>
    </xf>
    <xf numFmtId="43" fontId="4" fillId="0" borderId="0" xfId="42" applyFont="1" applyAlignment="1">
      <alignment/>
    </xf>
    <xf numFmtId="164" fontId="4" fillId="0" borderId="0" xfId="58" applyNumberFormat="1" applyFont="1" applyAlignment="1">
      <alignment/>
    </xf>
    <xf numFmtId="164" fontId="2" fillId="0" borderId="57" xfId="42" applyNumberFormat="1" applyFont="1" applyBorder="1" applyAlignment="1">
      <alignment horizontal="right" vertical="center" wrapText="1"/>
    </xf>
    <xf numFmtId="0" fontId="2" fillId="0" borderId="58" xfId="54" applyFont="1" applyBorder="1" applyAlignment="1">
      <alignment vertical="top"/>
      <protection/>
    </xf>
    <xf numFmtId="164" fontId="2" fillId="0" borderId="58" xfId="42" applyNumberFormat="1" applyFont="1" applyBorder="1" applyAlignment="1">
      <alignment horizontal="right" wrapText="1"/>
    </xf>
    <xf numFmtId="164" fontId="2" fillId="0" borderId="59" xfId="42" applyNumberFormat="1" applyFont="1" applyBorder="1" applyAlignment="1">
      <alignment horizontal="right" wrapText="1"/>
    </xf>
    <xf numFmtId="41" fontId="2" fillId="0" borderId="59" xfId="42" applyNumberFormat="1" applyFont="1" applyBorder="1" applyAlignment="1">
      <alignment horizontal="right" wrapText="1"/>
    </xf>
    <xf numFmtId="164" fontId="13" fillId="0" borderId="18" xfId="42" applyNumberFormat="1" applyFont="1" applyBorder="1" applyAlignment="1">
      <alignment horizontal="right" vertical="center" wrapText="1"/>
    </xf>
    <xf numFmtId="0" fontId="2" fillId="0" borderId="15" xfId="54" applyFont="1" applyBorder="1" applyAlignment="1">
      <alignment horizontal="center" vertical="top"/>
      <protection/>
    </xf>
    <xf numFmtId="0" fontId="2" fillId="0" borderId="24" xfId="0" applyFont="1" applyBorder="1" applyAlignment="1">
      <alignment wrapText="1"/>
    </xf>
    <xf numFmtId="164" fontId="1" fillId="0" borderId="74" xfId="54" applyNumberFormat="1" applyFont="1" applyBorder="1" applyAlignment="1">
      <alignment horizontal="right" vertical="center" wrapText="1"/>
      <protection/>
    </xf>
    <xf numFmtId="0" fontId="0" fillId="0" borderId="30" xfId="0" applyFont="1" applyBorder="1" applyAlignment="1">
      <alignment vertical="center" wrapText="1"/>
    </xf>
    <xf numFmtId="0" fontId="0" fillId="0" borderId="90" xfId="0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164" fontId="0" fillId="0" borderId="78" xfId="42" applyNumberFormat="1" applyFont="1" applyBorder="1" applyAlignment="1">
      <alignment horizontal="right" vertical="center" wrapText="1"/>
    </xf>
    <xf numFmtId="164" fontId="0" fillId="0" borderId="62" xfId="42" applyNumberFormat="1" applyFont="1" applyBorder="1" applyAlignment="1">
      <alignment horizontal="right" vertical="center" wrapText="1"/>
    </xf>
    <xf numFmtId="164" fontId="0" fillId="0" borderId="65" xfId="42" applyNumberFormat="1" applyFont="1" applyBorder="1" applyAlignment="1">
      <alignment horizontal="right" vertical="center" wrapText="1"/>
    </xf>
    <xf numFmtId="164" fontId="0" fillId="0" borderId="8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49" fontId="0" fillId="0" borderId="9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40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0" fillId="0" borderId="56" xfId="42" applyNumberFormat="1" applyFont="1" applyBorder="1" applyAlignment="1">
      <alignment horizontal="right" vertical="center" wrapText="1"/>
    </xf>
    <xf numFmtId="164" fontId="0" fillId="0" borderId="14" xfId="42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3" fontId="1" fillId="33" borderId="78" xfId="0" applyNumberFormat="1" applyFont="1" applyFill="1" applyBorder="1" applyAlignment="1">
      <alignment horizontal="center" vertical="center" wrapText="1"/>
    </xf>
    <xf numFmtId="3" fontId="1" fillId="33" borderId="79" xfId="0" applyNumberFormat="1" applyFont="1" applyFill="1" applyBorder="1" applyAlignment="1">
      <alignment horizontal="center" vertical="center" wrapText="1"/>
    </xf>
    <xf numFmtId="3" fontId="1" fillId="33" borderId="80" xfId="0" applyNumberFormat="1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 horizontal="center" vertical="center" wrapText="1"/>
    </xf>
    <xf numFmtId="3" fontId="1" fillId="33" borderId="71" xfId="0" applyNumberFormat="1" applyFont="1" applyFill="1" applyBorder="1" applyAlignment="1">
      <alignment horizontal="center" vertical="center" wrapText="1"/>
    </xf>
    <xf numFmtId="3" fontId="1" fillId="33" borderId="83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" fillId="0" borderId="84" xfId="54" applyFont="1" applyBorder="1" applyAlignment="1">
      <alignment horizontal="center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98" xfId="54" applyFont="1" applyBorder="1" applyAlignment="1">
      <alignment horizontal="center" vertical="center" wrapText="1"/>
      <protection/>
    </xf>
    <xf numFmtId="0" fontId="1" fillId="33" borderId="64" xfId="54" applyFont="1" applyFill="1" applyBorder="1" applyAlignment="1">
      <alignment horizontal="center" vertical="center" wrapText="1"/>
      <protection/>
    </xf>
    <xf numFmtId="0" fontId="1" fillId="33" borderId="75" xfId="54" applyFont="1" applyFill="1" applyBorder="1" applyAlignment="1">
      <alignment horizontal="center" vertical="center" wrapText="1"/>
      <protection/>
    </xf>
    <xf numFmtId="0" fontId="1" fillId="33" borderId="71" xfId="54" applyFont="1" applyFill="1" applyBorder="1" applyAlignment="1">
      <alignment horizontal="center" vertical="center" wrapText="1"/>
      <protection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33" borderId="7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1" fillId="33" borderId="30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33" borderId="19" xfId="54" applyFont="1" applyFill="1" applyBorder="1" applyAlignment="1">
      <alignment horizontal="center" vertical="center" wrapText="1"/>
      <protection/>
    </xf>
    <xf numFmtId="0" fontId="1" fillId="33" borderId="32" xfId="54" applyFont="1" applyFill="1" applyBorder="1" applyAlignment="1">
      <alignment horizontal="center" vertical="center" wrapText="1"/>
      <protection/>
    </xf>
    <xf numFmtId="0" fontId="1" fillId="33" borderId="38" xfId="54" applyFont="1" applyFill="1" applyBorder="1" applyAlignment="1">
      <alignment horizontal="center" vertical="center" wrapText="1"/>
      <protection/>
    </xf>
    <xf numFmtId="0" fontId="1" fillId="33" borderId="70" xfId="54" applyFont="1" applyFill="1" applyBorder="1" applyAlignment="1">
      <alignment horizontal="center" vertical="center" wrapText="1"/>
      <protection/>
    </xf>
    <xf numFmtId="0" fontId="1" fillId="33" borderId="93" xfId="54" applyFont="1" applyFill="1" applyBorder="1" applyAlignment="1">
      <alignment horizontal="center"/>
      <protection/>
    </xf>
    <xf numFmtId="0" fontId="1" fillId="33" borderId="62" xfId="54" applyFont="1" applyFill="1" applyBorder="1" applyAlignment="1">
      <alignment horizontal="center"/>
      <protection/>
    </xf>
    <xf numFmtId="0" fontId="1" fillId="33" borderId="63" xfId="54" applyFont="1" applyFill="1" applyBorder="1" applyAlignment="1">
      <alignment horizontal="center"/>
      <protection/>
    </xf>
    <xf numFmtId="0" fontId="1" fillId="33" borderId="78" xfId="54" applyFont="1" applyFill="1" applyBorder="1" applyAlignment="1">
      <alignment horizontal="center"/>
      <protection/>
    </xf>
    <xf numFmtId="0" fontId="1" fillId="33" borderId="79" xfId="54" applyFont="1" applyFill="1" applyBorder="1" applyAlignment="1">
      <alignment horizontal="center"/>
      <protection/>
    </xf>
    <xf numFmtId="0" fontId="1" fillId="33" borderId="80" xfId="54" applyFont="1" applyFill="1" applyBorder="1" applyAlignment="1">
      <alignment horizontal="center"/>
      <protection/>
    </xf>
    <xf numFmtId="0" fontId="1" fillId="33" borderId="90" xfId="54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 wrapText="1"/>
      <protection/>
    </xf>
    <xf numFmtId="0" fontId="1" fillId="33" borderId="21" xfId="54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19" xfId="54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/>
      <protection/>
    </xf>
    <xf numFmtId="0" fontId="15" fillId="0" borderId="40" xfId="53" applyFont="1" applyBorder="1" applyAlignment="1">
      <alignment horizontal="center" vertical="center"/>
      <protection/>
    </xf>
    <xf numFmtId="0" fontId="15" fillId="0" borderId="60" xfId="53" applyFont="1" applyBorder="1" applyAlignment="1">
      <alignment horizontal="center" vertical="center"/>
      <protection/>
    </xf>
    <xf numFmtId="0" fontId="15" fillId="0" borderId="18" xfId="53" applyFont="1" applyBorder="1" applyAlignment="1">
      <alignment horizontal="center" vertical="center"/>
      <protection/>
    </xf>
    <xf numFmtId="0" fontId="4" fillId="0" borderId="99" xfId="53" applyFont="1" applyBorder="1" applyAlignment="1">
      <alignment horizontal="center" vertical="top" wrapText="1"/>
      <protection/>
    </xf>
    <xf numFmtId="0" fontId="4" fillId="0" borderId="94" xfId="53" applyFont="1" applyBorder="1" applyAlignment="1">
      <alignment horizontal="center" vertical="top" wrapText="1"/>
      <protection/>
    </xf>
    <xf numFmtId="0" fontId="15" fillId="0" borderId="100" xfId="53" applyFont="1" applyBorder="1" applyAlignment="1">
      <alignment horizontal="left" vertical="top" wrapText="1"/>
      <protection/>
    </xf>
    <xf numFmtId="0" fontId="15" fillId="0" borderId="26" xfId="53" applyFont="1" applyBorder="1" applyAlignment="1">
      <alignment horizontal="left" vertical="top" wrapText="1"/>
      <protection/>
    </xf>
    <xf numFmtId="0" fontId="15" fillId="0" borderId="79" xfId="53" applyFont="1" applyBorder="1" applyAlignment="1">
      <alignment horizontal="center" vertical="center" wrapText="1"/>
      <protection/>
    </xf>
    <xf numFmtId="0" fontId="15" fillId="0" borderId="80" xfId="53" applyFont="1" applyBorder="1" applyAlignment="1">
      <alignment horizontal="center" vertical="center" wrapText="1"/>
      <protection/>
    </xf>
    <xf numFmtId="0" fontId="15" fillId="33" borderId="77" xfId="53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5" fillId="33" borderId="63" xfId="53" applyFont="1" applyFill="1" applyBorder="1" applyAlignment="1">
      <alignment horizontal="center" vertical="center" wrapText="1"/>
      <protection/>
    </xf>
    <xf numFmtId="0" fontId="15" fillId="33" borderId="71" xfId="53" applyFont="1" applyFill="1" applyBorder="1" applyAlignment="1">
      <alignment horizontal="center" vertical="center" wrapText="1"/>
      <protection/>
    </xf>
    <xf numFmtId="0" fontId="15" fillId="33" borderId="57" xfId="53" applyFont="1" applyFill="1" applyBorder="1" applyAlignment="1">
      <alignment horizontal="center" vertical="center" wrapText="1"/>
      <protection/>
    </xf>
    <xf numFmtId="0" fontId="15" fillId="33" borderId="57" xfId="53" applyFont="1" applyFill="1" applyBorder="1" applyAlignment="1">
      <alignment horizontal="center"/>
      <protection/>
    </xf>
    <xf numFmtId="0" fontId="15" fillId="33" borderId="61" xfId="53" applyFont="1" applyFill="1" applyBorder="1" applyAlignment="1">
      <alignment horizontal="center"/>
      <protection/>
    </xf>
    <xf numFmtId="0" fontId="15" fillId="33" borderId="70" xfId="53" applyFont="1" applyFill="1" applyBorder="1" applyAlignment="1">
      <alignment horizontal="center" vertical="center" wrapText="1"/>
      <protection/>
    </xf>
    <xf numFmtId="0" fontId="15" fillId="33" borderId="64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wrapText="1"/>
      <protection/>
    </xf>
    <xf numFmtId="0" fontId="10" fillId="0" borderId="0" xfId="53" applyFont="1" applyAlignment="1">
      <alignment horizontal="center"/>
      <protection/>
    </xf>
    <xf numFmtId="0" fontId="15" fillId="33" borderId="78" xfId="53" applyFont="1" applyFill="1" applyBorder="1" applyAlignment="1">
      <alignment horizontal="center" vertical="center" wrapText="1"/>
      <protection/>
    </xf>
    <xf numFmtId="0" fontId="15" fillId="33" borderId="76" xfId="53" applyFont="1" applyFill="1" applyBorder="1" applyAlignment="1">
      <alignment horizontal="center" vertical="center" wrapText="1"/>
      <protection/>
    </xf>
    <xf numFmtId="0" fontId="15" fillId="33" borderId="101" xfId="53" applyFont="1" applyFill="1" applyBorder="1" applyAlignment="1">
      <alignment horizontal="center" vertical="center" wrapText="1"/>
      <protection/>
    </xf>
    <xf numFmtId="0" fontId="15" fillId="33" borderId="102" xfId="53" applyFont="1" applyFill="1" applyBorder="1" applyAlignment="1">
      <alignment horizontal="center" vertical="center" wrapText="1"/>
      <protection/>
    </xf>
    <xf numFmtId="0" fontId="15" fillId="33" borderId="65" xfId="53" applyFont="1" applyFill="1" applyBorder="1" applyAlignment="1">
      <alignment horizontal="center" vertical="center" wrapText="1"/>
      <protection/>
    </xf>
    <xf numFmtId="0" fontId="15" fillId="33" borderId="66" xfId="53" applyFont="1" applyFill="1" applyBorder="1" applyAlignment="1">
      <alignment horizontal="center" vertical="center" wrapText="1"/>
      <protection/>
    </xf>
    <xf numFmtId="0" fontId="15" fillId="33" borderId="93" xfId="53" applyFont="1" applyFill="1" applyBorder="1" applyAlignment="1">
      <alignment horizontal="center" vertical="center" wrapText="1"/>
      <protection/>
    </xf>
    <xf numFmtId="0" fontId="15" fillId="33" borderId="85" xfId="53" applyFont="1" applyFill="1" applyBorder="1" applyAlignment="1">
      <alignment horizontal="center" vertical="center" wrapText="1"/>
      <protection/>
    </xf>
    <xf numFmtId="0" fontId="15" fillId="33" borderId="62" xfId="53" applyFont="1" applyFill="1" applyBorder="1" applyAlignment="1">
      <alignment horizontal="center" vertical="center" wrapText="1"/>
      <protection/>
    </xf>
    <xf numFmtId="0" fontId="15" fillId="33" borderId="57" xfId="53" applyFont="1" applyFill="1" applyBorder="1" applyAlignment="1">
      <alignment horizontal="center" vertical="center" wrapText="1"/>
      <protection/>
    </xf>
    <xf numFmtId="0" fontId="15" fillId="33" borderId="62" xfId="53" applyFont="1" applyFill="1" applyBorder="1" applyAlignment="1">
      <alignment horizontal="center"/>
      <protection/>
    </xf>
    <xf numFmtId="0" fontId="15" fillId="33" borderId="63" xfId="53" applyFont="1" applyFill="1" applyBorder="1" applyAlignment="1">
      <alignment horizontal="center"/>
      <protection/>
    </xf>
    <xf numFmtId="0" fontId="1" fillId="0" borderId="72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/>
      <protection/>
    </xf>
    <xf numFmtId="0" fontId="15" fillId="0" borderId="15" xfId="53" applyFont="1" applyBorder="1" applyAlignment="1">
      <alignment horizontal="center"/>
      <protection/>
    </xf>
    <xf numFmtId="0" fontId="15" fillId="0" borderId="70" xfId="53" applyFont="1" applyBorder="1" applyAlignment="1">
      <alignment horizontal="center"/>
      <protection/>
    </xf>
    <xf numFmtId="0" fontId="10" fillId="0" borderId="0" xfId="53" applyFont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85" xfId="53" applyFont="1" applyBorder="1" applyAlignment="1">
      <alignment horizontal="center" vertical="top" wrapText="1"/>
      <protection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33" borderId="3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/>
    </xf>
    <xf numFmtId="0" fontId="7" fillId="33" borderId="79" xfId="0" applyFont="1" applyFill="1" applyBorder="1" applyAlignment="1">
      <alignment horizontal="center"/>
    </xf>
    <xf numFmtId="0" fontId="7" fillId="33" borderId="80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34" borderId="31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3" fontId="2" fillId="34" borderId="37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3" fontId="2" fillId="34" borderId="37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40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5" borderId="93" xfId="0" applyFont="1" applyFill="1" applyBorder="1" applyAlignment="1">
      <alignment horizontal="center" vertical="center" wrapText="1"/>
    </xf>
    <xf numFmtId="0" fontId="15" fillId="35" borderId="8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37" borderId="89" xfId="0" applyFont="1" applyFill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5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56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3" fontId="1" fillId="34" borderId="31" xfId="42" applyNumberFormat="1" applyFont="1" applyFill="1" applyBorder="1" applyAlignment="1">
      <alignment horizontal="right" vertical="center" wrapText="1"/>
    </xf>
    <xf numFmtId="3" fontId="1" fillId="34" borderId="37" xfId="42" applyNumberFormat="1" applyFont="1" applyFill="1" applyBorder="1" applyAlignment="1">
      <alignment horizontal="right" vertical="center" wrapText="1"/>
    </xf>
    <xf numFmtId="3" fontId="1" fillId="34" borderId="40" xfId="42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/>
    </xf>
    <xf numFmtId="0" fontId="11" fillId="34" borderId="31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left" vertical="center" wrapText="1"/>
    </xf>
    <xf numFmtId="0" fontId="11" fillId="0" borderId="104" xfId="0" applyFont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35" borderId="103" xfId="0" applyFont="1" applyFill="1" applyBorder="1" applyAlignment="1">
      <alignment horizontal="left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9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5" borderId="77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28" fillId="34" borderId="0" xfId="55" applyFont="1" applyFill="1" applyBorder="1" applyAlignment="1">
      <alignment horizontal="left" wrapText="1"/>
      <protection/>
    </xf>
    <xf numFmtId="0" fontId="11" fillId="34" borderId="2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4" borderId="31" xfId="0" applyFont="1" applyFill="1" applyBorder="1" applyAlignment="1">
      <alignment horizontal="right" vertical="center" wrapText="1"/>
    </xf>
    <xf numFmtId="0" fontId="11" fillId="0" borderId="37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0" fillId="33" borderId="104" xfId="0" applyFont="1" applyFill="1" applyBorder="1" applyAlignment="1">
      <alignment horizontal="left" vertical="center" wrapText="1"/>
    </xf>
    <xf numFmtId="0" fontId="10" fillId="33" borderId="106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0" fillId="33" borderId="107" xfId="0" applyFont="1" applyFill="1" applyBorder="1" applyAlignment="1">
      <alignment horizontal="left" vertical="center" wrapText="1"/>
    </xf>
    <xf numFmtId="0" fontId="11" fillId="0" borderId="108" xfId="0" applyFont="1" applyBorder="1" applyAlignment="1">
      <alignment horizontal="left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9" fontId="11" fillId="0" borderId="34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68" xfId="0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Sprawozdanie I półrocze 2004" xfId="54"/>
    <cellStyle name="Normalny_Wieloletni 19-12-01 (1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57421875" style="12" customWidth="1"/>
    <col min="2" max="3" width="8.8515625" style="12" customWidth="1"/>
    <col min="4" max="4" width="50.00390625" style="12" customWidth="1"/>
    <col min="5" max="5" width="15.57421875" style="12" customWidth="1"/>
    <col min="6" max="6" width="13.140625" style="287" bestFit="1" customWidth="1"/>
    <col min="7" max="9" width="13.140625" style="287" customWidth="1"/>
    <col min="10" max="10" width="12.28125" style="12" bestFit="1" customWidth="1"/>
    <col min="11" max="16384" width="9.140625" style="12" customWidth="1"/>
  </cols>
  <sheetData>
    <row r="1" spans="1:10" ht="52.5" customHeight="1">
      <c r="A1" s="286"/>
      <c r="B1" s="286"/>
      <c r="C1" s="286"/>
      <c r="D1" s="286" t="s">
        <v>153</v>
      </c>
      <c r="E1" s="286"/>
      <c r="G1" s="288"/>
      <c r="I1" s="769" t="s">
        <v>355</v>
      </c>
      <c r="J1" s="769"/>
    </row>
    <row r="2" spans="1:10" ht="12" customHeight="1">
      <c r="A2" s="22"/>
      <c r="B2" s="22"/>
      <c r="C2" s="22"/>
      <c r="D2" s="22"/>
      <c r="E2" s="22"/>
      <c r="F2" s="289"/>
      <c r="G2" s="289"/>
      <c r="H2" s="289"/>
      <c r="I2" s="289"/>
      <c r="J2" s="22"/>
    </row>
    <row r="3" spans="1:10" ht="12" customHeight="1">
      <c r="A3" s="22"/>
      <c r="B3" s="22"/>
      <c r="C3" s="22"/>
      <c r="D3" s="22"/>
      <c r="E3" s="22"/>
      <c r="F3" s="289"/>
      <c r="G3" s="289"/>
      <c r="H3" s="289"/>
      <c r="I3" s="289"/>
      <c r="J3" s="22"/>
    </row>
    <row r="4" spans="1:10" ht="31.5" customHeight="1">
      <c r="A4" s="770" t="s">
        <v>154</v>
      </c>
      <c r="B4" s="770"/>
      <c r="C4" s="770"/>
      <c r="D4" s="770"/>
      <c r="E4" s="770"/>
      <c r="F4" s="770"/>
      <c r="G4" s="770"/>
      <c r="H4" s="770"/>
      <c r="I4" s="770"/>
      <c r="J4" s="770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771" t="s">
        <v>0</v>
      </c>
      <c r="B6" s="774" t="s">
        <v>1</v>
      </c>
      <c r="C6" s="774" t="s">
        <v>155</v>
      </c>
      <c r="D6" s="777" t="s">
        <v>2</v>
      </c>
      <c r="E6" s="780" t="s">
        <v>3</v>
      </c>
      <c r="F6" s="781"/>
      <c r="G6" s="782"/>
      <c r="H6" s="783" t="s">
        <v>4</v>
      </c>
      <c r="I6" s="784"/>
      <c r="J6" s="785"/>
    </row>
    <row r="7" spans="1:10" ht="12.75">
      <c r="A7" s="772"/>
      <c r="B7" s="775"/>
      <c r="C7" s="775"/>
      <c r="D7" s="778"/>
      <c r="E7" s="786" t="s">
        <v>18</v>
      </c>
      <c r="F7" s="787" t="s">
        <v>156</v>
      </c>
      <c r="G7" s="788"/>
      <c r="H7" s="789" t="s">
        <v>18</v>
      </c>
      <c r="I7" s="791" t="s">
        <v>156</v>
      </c>
      <c r="J7" s="792"/>
    </row>
    <row r="8" spans="1:10" ht="33.75" customHeight="1">
      <c r="A8" s="773"/>
      <c r="B8" s="776"/>
      <c r="C8" s="776"/>
      <c r="D8" s="779"/>
      <c r="E8" s="773"/>
      <c r="F8" s="290" t="s">
        <v>157</v>
      </c>
      <c r="G8" s="291" t="s">
        <v>158</v>
      </c>
      <c r="H8" s="790"/>
      <c r="I8" s="292" t="s">
        <v>157</v>
      </c>
      <c r="J8" s="293" t="s">
        <v>158</v>
      </c>
    </row>
    <row r="9" spans="1:10" s="302" customFormat="1" ht="12" thickBot="1">
      <c r="A9" s="294">
        <v>1</v>
      </c>
      <c r="B9" s="295">
        <v>2</v>
      </c>
      <c r="C9" s="295">
        <v>3</v>
      </c>
      <c r="D9" s="296">
        <v>4</v>
      </c>
      <c r="E9" s="297">
        <v>5</v>
      </c>
      <c r="F9" s="298">
        <v>6</v>
      </c>
      <c r="G9" s="299">
        <v>7</v>
      </c>
      <c r="H9" s="300">
        <v>8</v>
      </c>
      <c r="I9" s="298">
        <v>9</v>
      </c>
      <c r="J9" s="301">
        <v>10</v>
      </c>
    </row>
    <row r="10" spans="1:10" s="310" customFormat="1" ht="30" customHeight="1">
      <c r="A10" s="357">
        <v>700</v>
      </c>
      <c r="B10" s="358"/>
      <c r="C10" s="359"/>
      <c r="D10" s="360" t="s">
        <v>173</v>
      </c>
      <c r="E10" s="361">
        <f aca="true" t="shared" si="0" ref="E10:J10">SUM(E11)</f>
        <v>1662000</v>
      </c>
      <c r="F10" s="347">
        <f t="shared" si="0"/>
        <v>0</v>
      </c>
      <c r="G10" s="362">
        <f t="shared" si="0"/>
        <v>1662000</v>
      </c>
      <c r="H10" s="361">
        <f t="shared" si="0"/>
        <v>0</v>
      </c>
      <c r="I10" s="347">
        <f t="shared" si="0"/>
        <v>0</v>
      </c>
      <c r="J10" s="364">
        <f t="shared" si="0"/>
        <v>0</v>
      </c>
    </row>
    <row r="11" spans="1:10" s="310" customFormat="1" ht="30" customHeight="1">
      <c r="A11" s="311"/>
      <c r="B11" s="312">
        <v>70005</v>
      </c>
      <c r="C11" s="313"/>
      <c r="D11" s="314" t="s">
        <v>175</v>
      </c>
      <c r="E11" s="315">
        <f aca="true" t="shared" si="1" ref="E11:J11">SUM(E12)</f>
        <v>1662000</v>
      </c>
      <c r="F11" s="316">
        <f t="shared" si="1"/>
        <v>0</v>
      </c>
      <c r="G11" s="348">
        <f t="shared" si="1"/>
        <v>1662000</v>
      </c>
      <c r="H11" s="315">
        <f t="shared" si="1"/>
        <v>0</v>
      </c>
      <c r="I11" s="316">
        <f t="shared" si="1"/>
        <v>0</v>
      </c>
      <c r="J11" s="318">
        <f t="shared" si="1"/>
        <v>0</v>
      </c>
    </row>
    <row r="12" spans="1:10" s="310" customFormat="1" ht="30.75" customHeight="1">
      <c r="A12" s="333"/>
      <c r="B12" s="334"/>
      <c r="C12" s="313" t="s">
        <v>178</v>
      </c>
      <c r="D12" s="314" t="s">
        <v>179</v>
      </c>
      <c r="E12" s="320">
        <f>SUM(F12:G12)</f>
        <v>1662000</v>
      </c>
      <c r="F12" s="321">
        <v>0</v>
      </c>
      <c r="G12" s="322">
        <v>1662000</v>
      </c>
      <c r="H12" s="320">
        <f>SUM(I12:J12)</f>
        <v>0</v>
      </c>
      <c r="I12" s="316">
        <v>0</v>
      </c>
      <c r="J12" s="323">
        <v>0</v>
      </c>
    </row>
    <row r="13" spans="1:10" s="23" customFormat="1" ht="30.75" customHeight="1">
      <c r="A13" s="303">
        <v>750</v>
      </c>
      <c r="B13" s="550"/>
      <c r="C13" s="551"/>
      <c r="D13" s="306" t="s">
        <v>46</v>
      </c>
      <c r="E13" s="307">
        <f>SUM(E14)</f>
        <v>422892</v>
      </c>
      <c r="F13" s="552">
        <f aca="true" t="shared" si="2" ref="E13:J17">SUM(F14)</f>
        <v>0</v>
      </c>
      <c r="G13" s="308">
        <f t="shared" si="2"/>
        <v>422892</v>
      </c>
      <c r="H13" s="307">
        <f t="shared" si="2"/>
        <v>0</v>
      </c>
      <c r="I13" s="552">
        <f t="shared" si="2"/>
        <v>0</v>
      </c>
      <c r="J13" s="553">
        <f t="shared" si="2"/>
        <v>0</v>
      </c>
    </row>
    <row r="14" spans="1:10" s="310" customFormat="1" ht="26.25" customHeight="1">
      <c r="A14" s="311"/>
      <c r="B14" s="304">
        <v>75023</v>
      </c>
      <c r="C14" s="313"/>
      <c r="D14" s="314" t="s">
        <v>248</v>
      </c>
      <c r="E14" s="315">
        <f t="shared" si="2"/>
        <v>422892</v>
      </c>
      <c r="F14" s="316">
        <f t="shared" si="2"/>
        <v>0</v>
      </c>
      <c r="G14" s="348">
        <f t="shared" si="2"/>
        <v>422892</v>
      </c>
      <c r="H14" s="315">
        <f t="shared" si="2"/>
        <v>0</v>
      </c>
      <c r="I14" s="316">
        <f t="shared" si="2"/>
        <v>0</v>
      </c>
      <c r="J14" s="318">
        <f t="shared" si="2"/>
        <v>0</v>
      </c>
    </row>
    <row r="15" spans="1:10" s="310" customFormat="1" ht="46.5" customHeight="1">
      <c r="A15" s="333"/>
      <c r="B15" s="304"/>
      <c r="C15" s="313" t="s">
        <v>249</v>
      </c>
      <c r="D15" s="314" t="s">
        <v>250</v>
      </c>
      <c r="E15" s="320">
        <f>SUM(F15:G15)</f>
        <v>422892</v>
      </c>
      <c r="F15" s="321">
        <v>0</v>
      </c>
      <c r="G15" s="322">
        <v>422892</v>
      </c>
      <c r="H15" s="320">
        <f>SUM(I15:J15)</f>
        <v>0</v>
      </c>
      <c r="I15" s="316">
        <v>0</v>
      </c>
      <c r="J15" s="323">
        <v>0</v>
      </c>
    </row>
    <row r="16" spans="1:10" s="23" customFormat="1" ht="30.75" customHeight="1">
      <c r="A16" s="303">
        <v>758</v>
      </c>
      <c r="B16" s="550"/>
      <c r="C16" s="551"/>
      <c r="D16" s="306" t="s">
        <v>348</v>
      </c>
      <c r="E16" s="307">
        <f>SUM(E17)</f>
        <v>0</v>
      </c>
      <c r="F16" s="552">
        <f t="shared" si="2"/>
        <v>0</v>
      </c>
      <c r="G16" s="308">
        <f t="shared" si="2"/>
        <v>0</v>
      </c>
      <c r="H16" s="307">
        <f t="shared" si="2"/>
        <v>19684</v>
      </c>
      <c r="I16" s="552">
        <f t="shared" si="2"/>
        <v>19684</v>
      </c>
      <c r="J16" s="553">
        <f t="shared" si="2"/>
        <v>0</v>
      </c>
    </row>
    <row r="17" spans="1:10" s="310" customFormat="1" ht="26.25" customHeight="1">
      <c r="A17" s="311"/>
      <c r="B17" s="304">
        <v>75801</v>
      </c>
      <c r="C17" s="313"/>
      <c r="D17" s="314" t="s">
        <v>349</v>
      </c>
      <c r="E17" s="315">
        <f t="shared" si="2"/>
        <v>0</v>
      </c>
      <c r="F17" s="316">
        <f t="shared" si="2"/>
        <v>0</v>
      </c>
      <c r="G17" s="348">
        <f t="shared" si="2"/>
        <v>0</v>
      </c>
      <c r="H17" s="315">
        <f t="shared" si="2"/>
        <v>19684</v>
      </c>
      <c r="I17" s="316">
        <f t="shared" si="2"/>
        <v>19684</v>
      </c>
      <c r="J17" s="318">
        <f t="shared" si="2"/>
        <v>0</v>
      </c>
    </row>
    <row r="18" spans="1:10" s="310" customFormat="1" ht="32.25" customHeight="1">
      <c r="A18" s="333"/>
      <c r="B18" s="304"/>
      <c r="C18" s="313" t="s">
        <v>350</v>
      </c>
      <c r="D18" s="314" t="s">
        <v>351</v>
      </c>
      <c r="E18" s="320">
        <f>SUM(F18:G18)</f>
        <v>0</v>
      </c>
      <c r="F18" s="321">
        <v>0</v>
      </c>
      <c r="G18" s="322">
        <v>0</v>
      </c>
      <c r="H18" s="320">
        <f>SUM(I18:J18)</f>
        <v>19684</v>
      </c>
      <c r="I18" s="316">
        <v>19684</v>
      </c>
      <c r="J18" s="323">
        <v>0</v>
      </c>
    </row>
    <row r="19" spans="1:10" s="310" customFormat="1" ht="30" customHeight="1">
      <c r="A19" s="303">
        <v>900</v>
      </c>
      <c r="B19" s="304"/>
      <c r="C19" s="305"/>
      <c r="D19" s="306" t="s">
        <v>161</v>
      </c>
      <c r="E19" s="307">
        <f aca="true" t="shared" si="3" ref="E19:J19">SUM(E20+E23+E25+E27)</f>
        <v>3021995</v>
      </c>
      <c r="F19" s="349">
        <f t="shared" si="3"/>
        <v>1198036</v>
      </c>
      <c r="G19" s="308">
        <f t="shared" si="3"/>
        <v>1823959</v>
      </c>
      <c r="H19" s="307">
        <f t="shared" si="3"/>
        <v>0</v>
      </c>
      <c r="I19" s="349">
        <f t="shared" si="3"/>
        <v>0</v>
      </c>
      <c r="J19" s="309">
        <f t="shared" si="3"/>
        <v>0</v>
      </c>
    </row>
    <row r="20" spans="1:10" s="310" customFormat="1" ht="30" customHeight="1">
      <c r="A20" s="311"/>
      <c r="B20" s="312">
        <v>90001</v>
      </c>
      <c r="C20" s="313"/>
      <c r="D20" s="314" t="s">
        <v>166</v>
      </c>
      <c r="E20" s="315">
        <f aca="true" t="shared" si="4" ref="E20:J20">SUM(E21:E22)</f>
        <v>600000</v>
      </c>
      <c r="F20" s="316">
        <f t="shared" si="4"/>
        <v>0</v>
      </c>
      <c r="G20" s="348">
        <f t="shared" si="4"/>
        <v>600000</v>
      </c>
      <c r="H20" s="315">
        <f t="shared" si="4"/>
        <v>0</v>
      </c>
      <c r="I20" s="316">
        <f t="shared" si="4"/>
        <v>0</v>
      </c>
      <c r="J20" s="335">
        <f t="shared" si="4"/>
        <v>0</v>
      </c>
    </row>
    <row r="21" spans="1:10" s="310" customFormat="1" ht="24.75" customHeight="1">
      <c r="A21" s="311"/>
      <c r="B21" s="319"/>
      <c r="C21" s="313" t="s">
        <v>236</v>
      </c>
      <c r="D21" s="314" t="s">
        <v>237</v>
      </c>
      <c r="E21" s="320">
        <f>SUM(F21:G21)</f>
        <v>500000</v>
      </c>
      <c r="F21" s="321">
        <v>0</v>
      </c>
      <c r="G21" s="322">
        <v>500000</v>
      </c>
      <c r="H21" s="315">
        <f>SUM(I21:J21)</f>
        <v>0</v>
      </c>
      <c r="I21" s="316">
        <v>0</v>
      </c>
      <c r="J21" s="335">
        <v>0</v>
      </c>
    </row>
    <row r="22" spans="1:10" s="310" customFormat="1" ht="51">
      <c r="A22" s="311"/>
      <c r="B22" s="334"/>
      <c r="C22" s="313" t="s">
        <v>162</v>
      </c>
      <c r="D22" s="314" t="s">
        <v>163</v>
      </c>
      <c r="E22" s="320">
        <f>SUM(F22:G22)</f>
        <v>100000</v>
      </c>
      <c r="F22" s="321">
        <v>0</v>
      </c>
      <c r="G22" s="348">
        <v>100000</v>
      </c>
      <c r="H22" s="315">
        <f>SUM(I22:J22)</f>
        <v>0</v>
      </c>
      <c r="I22" s="316">
        <v>0</v>
      </c>
      <c r="J22" s="318">
        <v>0</v>
      </c>
    </row>
    <row r="23" spans="1:10" s="310" customFormat="1" ht="30" customHeight="1">
      <c r="A23" s="311"/>
      <c r="B23" s="312">
        <v>90002</v>
      </c>
      <c r="C23" s="313"/>
      <c r="D23" s="314" t="s">
        <v>167</v>
      </c>
      <c r="E23" s="315">
        <f aca="true" t="shared" si="5" ref="E23:J23">SUM(E24:E24)</f>
        <v>475000</v>
      </c>
      <c r="F23" s="316">
        <f t="shared" si="5"/>
        <v>0</v>
      </c>
      <c r="G23" s="317">
        <f t="shared" si="5"/>
        <v>475000</v>
      </c>
      <c r="H23" s="315">
        <f t="shared" si="5"/>
        <v>0</v>
      </c>
      <c r="I23" s="316">
        <f t="shared" si="5"/>
        <v>0</v>
      </c>
      <c r="J23" s="318">
        <f t="shared" si="5"/>
        <v>0</v>
      </c>
    </row>
    <row r="24" spans="1:10" s="310" customFormat="1" ht="30.75" customHeight="1" thickBot="1">
      <c r="A24" s="760"/>
      <c r="B24" s="761"/>
      <c r="C24" s="762" t="s">
        <v>236</v>
      </c>
      <c r="D24" s="763" t="s">
        <v>237</v>
      </c>
      <c r="E24" s="764">
        <f>SUM(F24:G24)</f>
        <v>475000</v>
      </c>
      <c r="F24" s="765">
        <v>0</v>
      </c>
      <c r="G24" s="766">
        <v>475000</v>
      </c>
      <c r="H24" s="767">
        <f>SUM(I24:J24)</f>
        <v>0</v>
      </c>
      <c r="I24" s="765"/>
      <c r="J24" s="768"/>
    </row>
    <row r="25" spans="1:10" s="310" customFormat="1" ht="30" customHeight="1">
      <c r="A25" s="752"/>
      <c r="B25" s="753">
        <v>90004</v>
      </c>
      <c r="C25" s="754"/>
      <c r="D25" s="755" t="s">
        <v>252</v>
      </c>
      <c r="E25" s="756">
        <f aca="true" t="shared" si="6" ref="E25:J25">SUM(E26:E26)</f>
        <v>987036</v>
      </c>
      <c r="F25" s="757">
        <f t="shared" si="6"/>
        <v>987036</v>
      </c>
      <c r="G25" s="758">
        <f t="shared" si="6"/>
        <v>0</v>
      </c>
      <c r="H25" s="756">
        <f t="shared" si="6"/>
        <v>0</v>
      </c>
      <c r="I25" s="757">
        <f t="shared" si="6"/>
        <v>0</v>
      </c>
      <c r="J25" s="759">
        <f t="shared" si="6"/>
        <v>0</v>
      </c>
    </row>
    <row r="26" spans="1:10" s="310" customFormat="1" ht="30.75" customHeight="1">
      <c r="A26" s="311"/>
      <c r="B26" s="334"/>
      <c r="C26" s="313" t="s">
        <v>251</v>
      </c>
      <c r="D26" s="314" t="s">
        <v>253</v>
      </c>
      <c r="E26" s="320">
        <f>SUM(F26:G26)</f>
        <v>987036</v>
      </c>
      <c r="F26" s="321">
        <v>987036</v>
      </c>
      <c r="G26" s="322">
        <v>0</v>
      </c>
      <c r="H26" s="315">
        <f>SUM(I26:J26)</f>
        <v>0</v>
      </c>
      <c r="I26" s="321"/>
      <c r="J26" s="318"/>
    </row>
    <row r="27" spans="1:10" s="310" customFormat="1" ht="30.75" customHeight="1">
      <c r="A27" s="311"/>
      <c r="B27" s="319">
        <v>90095</v>
      </c>
      <c r="C27" s="313"/>
      <c r="D27" s="314" t="s">
        <v>159</v>
      </c>
      <c r="E27" s="320">
        <f aca="true" t="shared" si="7" ref="E27:J27">SUM(E28:E31)</f>
        <v>959959</v>
      </c>
      <c r="F27" s="321">
        <f t="shared" si="7"/>
        <v>211000</v>
      </c>
      <c r="G27" s="322">
        <f t="shared" si="7"/>
        <v>748959</v>
      </c>
      <c r="H27" s="315">
        <f t="shared" si="7"/>
        <v>0</v>
      </c>
      <c r="I27" s="321">
        <f t="shared" si="7"/>
        <v>0</v>
      </c>
      <c r="J27" s="318">
        <f t="shared" si="7"/>
        <v>0</v>
      </c>
    </row>
    <row r="28" spans="1:10" s="310" customFormat="1" ht="30.75" customHeight="1">
      <c r="A28" s="311"/>
      <c r="B28" s="319"/>
      <c r="C28" s="509" t="s">
        <v>251</v>
      </c>
      <c r="D28" s="549" t="s">
        <v>253</v>
      </c>
      <c r="E28" s="320">
        <f>SUM(F28:G28)</f>
        <v>211000</v>
      </c>
      <c r="F28" s="321">
        <v>211000</v>
      </c>
      <c r="G28" s="322">
        <v>0</v>
      </c>
      <c r="H28" s="315">
        <f>SUM(I28:J28)</f>
        <v>0</v>
      </c>
      <c r="I28" s="316">
        <v>0</v>
      </c>
      <c r="J28" s="323">
        <v>0</v>
      </c>
    </row>
    <row r="29" spans="1:10" s="310" customFormat="1" ht="43.5" customHeight="1">
      <c r="A29" s="311"/>
      <c r="B29" s="319"/>
      <c r="C29" s="313" t="s">
        <v>162</v>
      </c>
      <c r="D29" s="314" t="s">
        <v>163</v>
      </c>
      <c r="E29" s="320">
        <f>SUM(F29:G29)</f>
        <v>190000</v>
      </c>
      <c r="F29" s="321">
        <v>0</v>
      </c>
      <c r="G29" s="322">
        <v>190000</v>
      </c>
      <c r="H29" s="315">
        <f>SUM(I29:J29)</f>
        <v>0</v>
      </c>
      <c r="I29" s="316">
        <v>0</v>
      </c>
      <c r="J29" s="323">
        <v>0</v>
      </c>
    </row>
    <row r="30" spans="1:10" s="310" customFormat="1" ht="43.5" customHeight="1">
      <c r="A30" s="311"/>
      <c r="B30" s="319"/>
      <c r="C30" s="313" t="s">
        <v>254</v>
      </c>
      <c r="D30" s="314" t="s">
        <v>163</v>
      </c>
      <c r="E30" s="320">
        <f>SUM(F30:G30)</f>
        <v>112542</v>
      </c>
      <c r="F30" s="321">
        <v>0</v>
      </c>
      <c r="G30" s="322">
        <v>112542</v>
      </c>
      <c r="H30" s="315">
        <f>SUM(I30:J30)</f>
        <v>0</v>
      </c>
      <c r="I30" s="316">
        <v>0</v>
      </c>
      <c r="J30" s="323">
        <v>0</v>
      </c>
    </row>
    <row r="31" spans="1:10" s="310" customFormat="1" ht="51.75" customHeight="1" thickBot="1">
      <c r="A31" s="333"/>
      <c r="B31" s="334"/>
      <c r="C31" s="313" t="s">
        <v>249</v>
      </c>
      <c r="D31" s="314" t="s">
        <v>250</v>
      </c>
      <c r="E31" s="320">
        <f>SUM(F31:G31)</f>
        <v>446417</v>
      </c>
      <c r="F31" s="321">
        <v>0</v>
      </c>
      <c r="G31" s="322">
        <v>446417</v>
      </c>
      <c r="H31" s="315">
        <f>SUM(I31:J31)</f>
        <v>0</v>
      </c>
      <c r="I31" s="316">
        <v>0</v>
      </c>
      <c r="J31" s="323">
        <v>0</v>
      </c>
    </row>
    <row r="32" spans="1:10" s="23" customFormat="1" ht="31.5" customHeight="1" thickBot="1">
      <c r="A32" s="793" t="s">
        <v>5</v>
      </c>
      <c r="B32" s="794"/>
      <c r="C32" s="794"/>
      <c r="D32" s="794"/>
      <c r="E32" s="324">
        <f aca="true" t="shared" si="8" ref="E32:J32">SUM(E10+E13+E16+E19)</f>
        <v>5106887</v>
      </c>
      <c r="F32" s="325">
        <f t="shared" si="8"/>
        <v>1198036</v>
      </c>
      <c r="G32" s="326">
        <f t="shared" si="8"/>
        <v>3908851</v>
      </c>
      <c r="H32" s="324">
        <f t="shared" si="8"/>
        <v>19684</v>
      </c>
      <c r="I32" s="325">
        <f t="shared" si="8"/>
        <v>19684</v>
      </c>
      <c r="J32" s="748">
        <f t="shared" si="8"/>
        <v>0</v>
      </c>
    </row>
    <row r="33" spans="1:10" ht="12.75">
      <c r="A33" s="310"/>
      <c r="B33" s="310"/>
      <c r="C33" s="310"/>
      <c r="D33" s="310"/>
      <c r="E33" s="310"/>
      <c r="F33" s="328"/>
      <c r="G33" s="328"/>
      <c r="H33" s="328"/>
      <c r="I33" s="328"/>
      <c r="J33" s="310"/>
    </row>
    <row r="35" ht="12.75">
      <c r="E35" s="30"/>
    </row>
    <row r="36" spans="5:10" ht="12.75">
      <c r="E36" s="19"/>
      <c r="J36" s="19"/>
    </row>
    <row r="37" spans="4:5" ht="12.75">
      <c r="D37" s="365" t="s">
        <v>183</v>
      </c>
      <c r="E37" s="366">
        <f>SUM(H32-E32+'Dochody - porozumienia'!H16-'Dochody - porozumienia'!E16)</f>
        <v>-6126592</v>
      </c>
    </row>
    <row r="38" spans="4:10" ht="12.75">
      <c r="D38" s="329"/>
      <c r="E38" s="330"/>
      <c r="J38" s="19"/>
    </row>
    <row r="39" spans="4:5" ht="12.75">
      <c r="D39" s="574">
        <f>SUM(-E37,'Wydatki bieżące - własne'!I63:J63)</f>
        <v>-5675000</v>
      </c>
      <c r="E39" s="575" t="s">
        <v>265</v>
      </c>
    </row>
    <row r="40" spans="4:5" ht="12.75">
      <c r="D40" s="331"/>
      <c r="E40" s="331"/>
    </row>
    <row r="41" spans="4:5" ht="12.75">
      <c r="D41" s="331"/>
      <c r="E41" s="331"/>
    </row>
    <row r="42" spans="4:5" ht="12.75">
      <c r="D42" s="329"/>
      <c r="E42" s="332"/>
    </row>
    <row r="43" spans="4:5" ht="12.75">
      <c r="D43" s="331"/>
      <c r="E43" s="331"/>
    </row>
  </sheetData>
  <sheetProtection/>
  <mergeCells count="13">
    <mergeCell ref="H7:H8"/>
    <mergeCell ref="I7:J7"/>
    <mergeCell ref="A32:D32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  <rowBreaks count="1" manualBreakCount="1">
    <brk id="2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M23"/>
  <sheetViews>
    <sheetView showGridLines="0" view="pageBreakPreview" zoomScaleSheetLayoutView="100" zoomScalePageLayoutView="0" workbookViewId="0" topLeftCell="A1">
      <selection activeCell="M1" sqref="M1"/>
    </sheetView>
  </sheetViews>
  <sheetFormatPr defaultColWidth="9.140625" defaultRowHeight="12.75"/>
  <cols>
    <col min="1" max="1" width="4.140625" style="20" bestFit="1" customWidth="1"/>
    <col min="2" max="2" width="39.421875" style="20" bestFit="1" customWidth="1"/>
    <col min="3" max="3" width="6.00390625" style="20" bestFit="1" customWidth="1"/>
    <col min="4" max="4" width="9.7109375" style="20" bestFit="1" customWidth="1"/>
    <col min="5" max="5" width="12.00390625" style="20" bestFit="1" customWidth="1"/>
    <col min="6" max="6" width="13.421875" style="20" bestFit="1" customWidth="1"/>
    <col min="7" max="7" width="12.7109375" style="20" bestFit="1" customWidth="1"/>
    <col min="8" max="9" width="9.421875" style="20" bestFit="1" customWidth="1"/>
    <col min="10" max="10" width="12.7109375" style="20" bestFit="1" customWidth="1"/>
    <col min="11" max="11" width="9.421875" style="20" customWidth="1"/>
    <col min="12" max="12" width="13.421875" style="20" bestFit="1" customWidth="1"/>
    <col min="13" max="13" width="19.421875" style="20" bestFit="1" customWidth="1"/>
    <col min="14" max="16384" width="9.140625" style="20" customWidth="1"/>
  </cols>
  <sheetData>
    <row r="1" spans="5:13" ht="48.75" customHeight="1">
      <c r="E1" s="495"/>
      <c r="F1" s="495"/>
      <c r="G1" s="495"/>
      <c r="H1" s="495"/>
      <c r="I1" s="495"/>
      <c r="J1" s="495"/>
      <c r="K1" s="495"/>
      <c r="L1" s="495"/>
      <c r="M1" s="495" t="s">
        <v>364</v>
      </c>
    </row>
    <row r="2" spans="5:13" ht="12">
      <c r="E2" s="448"/>
      <c r="F2" s="448"/>
      <c r="G2" s="448"/>
      <c r="H2" s="448"/>
      <c r="I2" s="448"/>
      <c r="J2" s="448"/>
      <c r="K2" s="448"/>
      <c r="L2" s="448"/>
      <c r="M2" s="448"/>
    </row>
    <row r="3" spans="1:13" ht="31.5" customHeight="1">
      <c r="A3" s="885" t="s">
        <v>230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</row>
    <row r="4" spans="1:13" ht="15" thickBot="1">
      <c r="A4" s="452"/>
      <c r="B4" s="452"/>
      <c r="C4" s="452"/>
      <c r="D4" s="452"/>
      <c r="E4" s="452"/>
      <c r="F4" s="452"/>
      <c r="G4" s="425"/>
      <c r="H4" s="452"/>
      <c r="I4" s="452"/>
      <c r="J4" s="425"/>
      <c r="K4" s="452"/>
      <c r="L4" s="452"/>
      <c r="M4" s="425" t="s">
        <v>6</v>
      </c>
    </row>
    <row r="5" spans="1:13" ht="38.25" customHeight="1">
      <c r="A5" s="886" t="s">
        <v>7</v>
      </c>
      <c r="B5" s="888" t="s">
        <v>198</v>
      </c>
      <c r="C5" s="888" t="s">
        <v>0</v>
      </c>
      <c r="D5" s="888" t="s">
        <v>1</v>
      </c>
      <c r="E5" s="890" t="s">
        <v>215</v>
      </c>
      <c r="F5" s="883"/>
      <c r="G5" s="883"/>
      <c r="H5" s="882" t="s">
        <v>285</v>
      </c>
      <c r="I5" s="883"/>
      <c r="J5" s="884"/>
      <c r="K5" s="882" t="s">
        <v>286</v>
      </c>
      <c r="L5" s="883"/>
      <c r="M5" s="884"/>
    </row>
    <row r="6" spans="1:13" ht="38.25" customHeight="1">
      <c r="A6" s="887"/>
      <c r="B6" s="889"/>
      <c r="C6" s="889"/>
      <c r="D6" s="889"/>
      <c r="E6" s="453" t="s">
        <v>207</v>
      </c>
      <c r="F6" s="640" t="s">
        <v>231</v>
      </c>
      <c r="G6" s="635" t="s">
        <v>242</v>
      </c>
      <c r="H6" s="636" t="s">
        <v>207</v>
      </c>
      <c r="I6" s="453" t="s">
        <v>291</v>
      </c>
      <c r="J6" s="399" t="s">
        <v>242</v>
      </c>
      <c r="K6" s="636" t="s">
        <v>207</v>
      </c>
      <c r="L6" s="453" t="s">
        <v>231</v>
      </c>
      <c r="M6" s="399" t="s">
        <v>242</v>
      </c>
    </row>
    <row r="7" spans="1:13" ht="12.75" thickBot="1">
      <c r="A7" s="449">
        <v>1</v>
      </c>
      <c r="B7" s="450">
        <v>2</v>
      </c>
      <c r="C7" s="450">
        <v>3</v>
      </c>
      <c r="D7" s="450">
        <v>4</v>
      </c>
      <c r="E7" s="450">
        <v>5</v>
      </c>
      <c r="F7" s="641">
        <v>6</v>
      </c>
      <c r="G7" s="450">
        <v>7</v>
      </c>
      <c r="H7" s="449">
        <v>8</v>
      </c>
      <c r="I7" s="450">
        <v>9</v>
      </c>
      <c r="J7" s="451">
        <v>10</v>
      </c>
      <c r="K7" s="449">
        <v>11</v>
      </c>
      <c r="L7" s="450">
        <v>12</v>
      </c>
      <c r="M7" s="451">
        <v>13</v>
      </c>
    </row>
    <row r="8" spans="1:13" ht="12.75">
      <c r="A8" s="459"/>
      <c r="B8" s="455"/>
      <c r="C8" s="455"/>
      <c r="D8" s="455"/>
      <c r="E8" s="632"/>
      <c r="F8" s="462"/>
      <c r="G8" s="632"/>
      <c r="H8" s="637"/>
      <c r="I8" s="543"/>
      <c r="J8" s="545"/>
      <c r="K8" s="637"/>
      <c r="L8" s="543"/>
      <c r="M8" s="545"/>
    </row>
    <row r="9" spans="1:13" ht="12.75">
      <c r="A9" s="459" t="s">
        <v>8</v>
      </c>
      <c r="B9" s="455" t="s">
        <v>287</v>
      </c>
      <c r="C9" s="465">
        <v>921</v>
      </c>
      <c r="D9" s="465">
        <v>92109</v>
      </c>
      <c r="E9" s="467">
        <v>1970000</v>
      </c>
      <c r="F9" s="466">
        <v>81000</v>
      </c>
      <c r="G9" s="467">
        <f>SUM(E9:F9)</f>
        <v>2051000</v>
      </c>
      <c r="H9" s="638">
        <v>14500</v>
      </c>
      <c r="I9" s="466">
        <v>-14500</v>
      </c>
      <c r="J9" s="496">
        <f>SUM(H9:I9)</f>
        <v>0</v>
      </c>
      <c r="K9" s="638">
        <v>0</v>
      </c>
      <c r="L9" s="544">
        <v>7000</v>
      </c>
      <c r="M9" s="496">
        <f>SUM(K9:L9)</f>
        <v>7000</v>
      </c>
    </row>
    <row r="10" spans="1:13" ht="12.75">
      <c r="A10" s="459"/>
      <c r="B10" s="455"/>
      <c r="C10" s="455"/>
      <c r="D10" s="455"/>
      <c r="E10" s="632"/>
      <c r="F10" s="462"/>
      <c r="G10" s="632"/>
      <c r="H10" s="637"/>
      <c r="I10" s="543"/>
      <c r="J10" s="545"/>
      <c r="K10" s="637"/>
      <c r="L10" s="543"/>
      <c r="M10" s="545"/>
    </row>
    <row r="11" spans="1:13" ht="12.75">
      <c r="A11" s="459" t="s">
        <v>9</v>
      </c>
      <c r="B11" s="463" t="s">
        <v>216</v>
      </c>
      <c r="C11" s="455"/>
      <c r="D11" s="455"/>
      <c r="E11" s="632"/>
      <c r="F11" s="462"/>
      <c r="G11" s="632"/>
      <c r="H11" s="637"/>
      <c r="I11" s="462"/>
      <c r="J11" s="545"/>
      <c r="K11" s="637"/>
      <c r="L11" s="543"/>
      <c r="M11" s="545"/>
    </row>
    <row r="12" spans="1:13" ht="12.75">
      <c r="A12" s="464"/>
      <c r="B12" s="463" t="s">
        <v>217</v>
      </c>
      <c r="C12" s="465">
        <v>921</v>
      </c>
      <c r="D12" s="465">
        <v>92116</v>
      </c>
      <c r="E12" s="467">
        <v>1181300</v>
      </c>
      <c r="F12" s="466">
        <v>20000</v>
      </c>
      <c r="G12" s="467">
        <f>SUM(E12:F12)</f>
        <v>1201300</v>
      </c>
      <c r="H12" s="638">
        <v>0</v>
      </c>
      <c r="I12" s="466">
        <v>0</v>
      </c>
      <c r="J12" s="496">
        <f>SUM(H12:I12)</f>
        <v>0</v>
      </c>
      <c r="K12" s="638">
        <v>25000</v>
      </c>
      <c r="L12" s="544">
        <v>0</v>
      </c>
      <c r="M12" s="496">
        <f>SUM(K12:L12)</f>
        <v>25000</v>
      </c>
    </row>
    <row r="13" spans="1:13" ht="12.75">
      <c r="A13" s="464"/>
      <c r="B13" s="463"/>
      <c r="C13" s="465"/>
      <c r="D13" s="465"/>
      <c r="E13" s="467"/>
      <c r="F13" s="466"/>
      <c r="G13" s="467"/>
      <c r="H13" s="638"/>
      <c r="I13" s="466"/>
      <c r="J13" s="496"/>
      <c r="K13" s="638"/>
      <c r="L13" s="544"/>
      <c r="M13" s="496"/>
    </row>
    <row r="14" spans="1:13" ht="12.75">
      <c r="A14" s="464" t="s">
        <v>10</v>
      </c>
      <c r="B14" s="455" t="s">
        <v>288</v>
      </c>
      <c r="C14" s="456"/>
      <c r="D14" s="456"/>
      <c r="E14" s="467"/>
      <c r="F14" s="466"/>
      <c r="G14" s="467"/>
      <c r="H14" s="638"/>
      <c r="I14" s="466"/>
      <c r="J14" s="496"/>
      <c r="K14" s="638"/>
      <c r="L14" s="544"/>
      <c r="M14" s="496"/>
    </row>
    <row r="15" spans="1:13" ht="12.75">
      <c r="A15" s="464"/>
      <c r="B15" s="455" t="s">
        <v>289</v>
      </c>
      <c r="C15" s="456"/>
      <c r="D15" s="456"/>
      <c r="E15" s="467"/>
      <c r="F15" s="466"/>
      <c r="G15" s="467"/>
      <c r="H15" s="638"/>
      <c r="I15" s="466"/>
      <c r="J15" s="496"/>
      <c r="K15" s="638"/>
      <c r="L15" s="544"/>
      <c r="M15" s="496"/>
    </row>
    <row r="16" spans="1:13" ht="12.75">
      <c r="A16" s="464"/>
      <c r="B16" s="455" t="s">
        <v>290</v>
      </c>
      <c r="C16" s="456">
        <v>801</v>
      </c>
      <c r="D16" s="456">
        <v>80104</v>
      </c>
      <c r="E16" s="467">
        <v>0</v>
      </c>
      <c r="F16" s="466">
        <v>0</v>
      </c>
      <c r="G16" s="467">
        <f>SUM(E16:F16)</f>
        <v>0</v>
      </c>
      <c r="H16" s="638">
        <v>22000</v>
      </c>
      <c r="I16" s="466">
        <v>3000</v>
      </c>
      <c r="J16" s="496">
        <f>SUM(H16:I16)</f>
        <v>25000</v>
      </c>
      <c r="K16" s="638">
        <v>0</v>
      </c>
      <c r="L16" s="544">
        <v>0</v>
      </c>
      <c r="M16" s="496">
        <f>SUM(K16:L16)</f>
        <v>0</v>
      </c>
    </row>
    <row r="17" spans="1:13" ht="13.5" thickBot="1">
      <c r="A17" s="464"/>
      <c r="B17" s="463"/>
      <c r="C17" s="465"/>
      <c r="D17" s="465"/>
      <c r="E17" s="467"/>
      <c r="F17" s="466"/>
      <c r="G17" s="467"/>
      <c r="H17" s="638"/>
      <c r="I17" s="466"/>
      <c r="J17" s="496"/>
      <c r="K17" s="638"/>
      <c r="L17" s="544"/>
      <c r="M17" s="496"/>
    </row>
    <row r="18" spans="1:13" ht="12.75">
      <c r="A18" s="468"/>
      <c r="B18" s="469"/>
      <c r="C18" s="469"/>
      <c r="D18" s="469"/>
      <c r="E18" s="470"/>
      <c r="F18" s="634"/>
      <c r="G18" s="470"/>
      <c r="H18" s="639"/>
      <c r="I18" s="634"/>
      <c r="J18" s="470"/>
      <c r="K18" s="639"/>
      <c r="L18" s="633"/>
      <c r="M18" s="497"/>
    </row>
    <row r="19" spans="1:13" ht="13.5" thickBot="1">
      <c r="A19" s="471"/>
      <c r="B19" s="472" t="s">
        <v>212</v>
      </c>
      <c r="C19" s="472" t="s">
        <v>218</v>
      </c>
      <c r="D19" s="472" t="s">
        <v>218</v>
      </c>
      <c r="E19" s="473">
        <f aca="true" t="shared" si="0" ref="E19:M19">SUM(E9:E16)</f>
        <v>3151300</v>
      </c>
      <c r="F19" s="473">
        <f t="shared" si="0"/>
        <v>101000</v>
      </c>
      <c r="G19" s="473">
        <f t="shared" si="0"/>
        <v>3252300</v>
      </c>
      <c r="H19" s="642">
        <f t="shared" si="0"/>
        <v>36500</v>
      </c>
      <c r="I19" s="473">
        <f t="shared" si="0"/>
        <v>-11500</v>
      </c>
      <c r="J19" s="473">
        <f t="shared" si="0"/>
        <v>25000</v>
      </c>
      <c r="K19" s="642">
        <f t="shared" si="0"/>
        <v>25000</v>
      </c>
      <c r="L19" s="473">
        <f t="shared" si="0"/>
        <v>7000</v>
      </c>
      <c r="M19" s="474">
        <f t="shared" si="0"/>
        <v>32000</v>
      </c>
    </row>
    <row r="23" ht="12">
      <c r="F23" s="238"/>
    </row>
  </sheetData>
  <sheetProtection/>
  <mergeCells count="8">
    <mergeCell ref="H5:J5"/>
    <mergeCell ref="K5:M5"/>
    <mergeCell ref="A3:M3"/>
    <mergeCell ref="A5:A6"/>
    <mergeCell ref="B5:B6"/>
    <mergeCell ref="C5:C6"/>
    <mergeCell ref="D5:D6"/>
    <mergeCell ref="E5:G5"/>
  </mergeCells>
  <printOptions horizontalCentered="1"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27"/>
  <sheetViews>
    <sheetView showGridLines="0" view="pageBreakPreview" zoomScaleSheetLayoutView="100" zoomScalePageLayoutView="0" workbookViewId="0" topLeftCell="A1">
      <selection activeCell="G1" sqref="G1:H1"/>
    </sheetView>
  </sheetViews>
  <sheetFormatPr defaultColWidth="9.140625" defaultRowHeight="12.75"/>
  <cols>
    <col min="1" max="1" width="5.421875" style="20" bestFit="1" customWidth="1"/>
    <col min="2" max="2" width="32.421875" style="20" customWidth="1"/>
    <col min="3" max="3" width="48.57421875" style="20" customWidth="1"/>
    <col min="4" max="4" width="7.8515625" style="20" customWidth="1"/>
    <col min="5" max="5" width="9.7109375" style="20" bestFit="1" customWidth="1"/>
    <col min="6" max="6" width="11.28125" style="20" customWidth="1"/>
    <col min="7" max="7" width="12.421875" style="20" customWidth="1"/>
    <col min="8" max="8" width="14.140625" style="228" customWidth="1"/>
    <col min="9" max="9" width="8.7109375" style="20" customWidth="1"/>
    <col min="10" max="16384" width="9.140625" style="20" customWidth="1"/>
  </cols>
  <sheetData>
    <row r="1" spans="5:8" ht="46.5" customHeight="1">
      <c r="E1" s="475"/>
      <c r="F1" s="475"/>
      <c r="G1" s="891" t="s">
        <v>365</v>
      </c>
      <c r="H1" s="891"/>
    </row>
    <row r="3" ht="7.5" customHeight="1"/>
    <row r="4" spans="1:10" ht="40.5" customHeight="1">
      <c r="A4" s="892" t="s">
        <v>220</v>
      </c>
      <c r="B4" s="892"/>
      <c r="C4" s="885"/>
      <c r="D4" s="885"/>
      <c r="E4" s="885"/>
      <c r="F4" s="885"/>
      <c r="G4" s="885"/>
      <c r="H4" s="885"/>
      <c r="I4" s="476"/>
      <c r="J4" s="476"/>
    </row>
    <row r="5" spans="1:8" ht="15" thickBot="1">
      <c r="A5" s="452"/>
      <c r="B5" s="452"/>
      <c r="C5" s="452"/>
      <c r="D5" s="452"/>
      <c r="E5" s="452"/>
      <c r="F5" s="452"/>
      <c r="G5" s="452"/>
      <c r="H5" s="425" t="s">
        <v>6</v>
      </c>
    </row>
    <row r="6" spans="1:8" ht="15" customHeight="1">
      <c r="A6" s="886" t="s">
        <v>213</v>
      </c>
      <c r="B6" s="894" t="s">
        <v>221</v>
      </c>
      <c r="C6" s="897" t="s">
        <v>222</v>
      </c>
      <c r="D6" s="888" t="s">
        <v>0</v>
      </c>
      <c r="E6" s="888" t="s">
        <v>1</v>
      </c>
      <c r="F6" s="901" t="s">
        <v>207</v>
      </c>
      <c r="G6" s="902"/>
      <c r="H6" s="903"/>
    </row>
    <row r="7" spans="1:8" ht="15" customHeight="1">
      <c r="A7" s="893"/>
      <c r="B7" s="895"/>
      <c r="C7" s="898"/>
      <c r="D7" s="900"/>
      <c r="E7" s="900"/>
      <c r="F7" s="895" t="s">
        <v>223</v>
      </c>
      <c r="G7" s="904" t="s">
        <v>71</v>
      </c>
      <c r="H7" s="905"/>
    </row>
    <row r="8" spans="1:8" ht="44.25" customHeight="1">
      <c r="A8" s="887"/>
      <c r="B8" s="896"/>
      <c r="C8" s="899"/>
      <c r="D8" s="889"/>
      <c r="E8" s="889"/>
      <c r="F8" s="896"/>
      <c r="G8" s="453" t="s">
        <v>224</v>
      </c>
      <c r="H8" s="477" t="s">
        <v>225</v>
      </c>
    </row>
    <row r="9" spans="1:8" ht="12.75" thickBot="1">
      <c r="A9" s="449">
        <v>1</v>
      </c>
      <c r="B9" s="478">
        <v>2</v>
      </c>
      <c r="C9" s="450">
        <v>3</v>
      </c>
      <c r="D9" s="450">
        <v>4</v>
      </c>
      <c r="E9" s="450">
        <v>5</v>
      </c>
      <c r="F9" s="450">
        <v>6</v>
      </c>
      <c r="G9" s="450">
        <v>7</v>
      </c>
      <c r="H9" s="451">
        <v>8</v>
      </c>
    </row>
    <row r="10" spans="1:8" ht="12.75">
      <c r="A10" s="454"/>
      <c r="B10" s="479"/>
      <c r="C10" s="455" t="s">
        <v>214</v>
      </c>
      <c r="D10" s="456"/>
      <c r="E10" s="456"/>
      <c r="F10" s="456"/>
      <c r="G10" s="457"/>
      <c r="H10" s="458"/>
    </row>
    <row r="11" spans="1:8" s="487" customFormat="1" ht="12.75">
      <c r="A11" s="480" t="s">
        <v>8</v>
      </c>
      <c r="B11" s="481" t="s">
        <v>226</v>
      </c>
      <c r="C11" s="482" t="s">
        <v>227</v>
      </c>
      <c r="D11" s="465">
        <v>600</v>
      </c>
      <c r="E11" s="465">
        <v>60013</v>
      </c>
      <c r="F11" s="484">
        <f>SUM(G11:H11)</f>
        <v>46631</v>
      </c>
      <c r="G11" s="485"/>
      <c r="H11" s="486">
        <f>500000-453369</f>
        <v>46631</v>
      </c>
    </row>
    <row r="12" spans="1:8" ht="12.75">
      <c r="A12" s="480"/>
      <c r="B12" s="481"/>
      <c r="C12" s="455"/>
      <c r="D12" s="465"/>
      <c r="E12" s="465"/>
      <c r="F12" s="484"/>
      <c r="G12" s="485"/>
      <c r="H12" s="486"/>
    </row>
    <row r="13" spans="1:8" ht="12.75">
      <c r="A13" s="480" t="s">
        <v>9</v>
      </c>
      <c r="B13" s="481" t="s">
        <v>226</v>
      </c>
      <c r="C13" s="643" t="s">
        <v>292</v>
      </c>
      <c r="D13" s="465">
        <v>600</v>
      </c>
      <c r="E13" s="465">
        <v>60013</v>
      </c>
      <c r="F13" s="484">
        <f>SUM(G13:H13)</f>
        <v>90000</v>
      </c>
      <c r="G13" s="485"/>
      <c r="H13" s="486">
        <v>90000</v>
      </c>
    </row>
    <row r="14" spans="1:8" ht="12.75">
      <c r="A14" s="480"/>
      <c r="B14" s="481"/>
      <c r="C14" s="455"/>
      <c r="D14" s="455"/>
      <c r="E14" s="455"/>
      <c r="F14" s="483"/>
      <c r="G14" s="460"/>
      <c r="H14" s="461"/>
    </row>
    <row r="15" spans="1:8" s="487" customFormat="1" ht="25.5">
      <c r="A15" s="480" t="s">
        <v>10</v>
      </c>
      <c r="B15" s="481" t="s">
        <v>244</v>
      </c>
      <c r="C15" s="482" t="s">
        <v>245</v>
      </c>
      <c r="D15" s="465">
        <v>700</v>
      </c>
      <c r="E15" s="465">
        <v>70095</v>
      </c>
      <c r="F15" s="484">
        <f>SUM(G15:H15)</f>
        <v>10000</v>
      </c>
      <c r="G15" s="485"/>
      <c r="H15" s="486">
        <v>10000</v>
      </c>
    </row>
    <row r="16" spans="1:8" s="487" customFormat="1" ht="12.75">
      <c r="A16" s="480"/>
      <c r="B16" s="481"/>
      <c r="C16" s="482"/>
      <c r="D16" s="465"/>
      <c r="E16" s="465"/>
      <c r="F16" s="484"/>
      <c r="G16" s="485"/>
      <c r="H16" s="486"/>
    </row>
    <row r="17" spans="1:8" s="487" customFormat="1" ht="38.25">
      <c r="A17" s="480" t="s">
        <v>11</v>
      </c>
      <c r="B17" s="481" t="s">
        <v>293</v>
      </c>
      <c r="C17" s="482" t="s">
        <v>304</v>
      </c>
      <c r="D17" s="465">
        <v>700</v>
      </c>
      <c r="E17" s="465">
        <v>70095</v>
      </c>
      <c r="F17" s="484">
        <f>SUM(G17:H17)</f>
        <v>5000</v>
      </c>
      <c r="G17" s="485"/>
      <c r="H17" s="486">
        <v>5000</v>
      </c>
    </row>
    <row r="18" spans="1:8" s="487" customFormat="1" ht="12.75">
      <c r="A18" s="480"/>
      <c r="B18" s="481"/>
      <c r="C18" s="482"/>
      <c r="D18" s="465"/>
      <c r="E18" s="465"/>
      <c r="F18" s="484"/>
      <c r="G18" s="485"/>
      <c r="H18" s="486"/>
    </row>
    <row r="19" spans="1:8" s="487" customFormat="1" ht="25.5">
      <c r="A19" s="480" t="s">
        <v>12</v>
      </c>
      <c r="B19" s="481" t="s">
        <v>228</v>
      </c>
      <c r="C19" s="482" t="s">
        <v>246</v>
      </c>
      <c r="D19" s="465">
        <v>801</v>
      </c>
      <c r="E19" s="465">
        <v>80195</v>
      </c>
      <c r="F19" s="484">
        <f>SUM(G19:H19)</f>
        <v>40000</v>
      </c>
      <c r="G19" s="485"/>
      <c r="H19" s="486">
        <v>40000</v>
      </c>
    </row>
    <row r="20" spans="1:8" s="487" customFormat="1" ht="12.75">
      <c r="A20" s="480"/>
      <c r="B20" s="481"/>
      <c r="C20" s="482"/>
      <c r="D20" s="465"/>
      <c r="E20" s="465"/>
      <c r="F20" s="484"/>
      <c r="G20" s="485"/>
      <c r="H20" s="486"/>
    </row>
    <row r="21" spans="1:8" s="487" customFormat="1" ht="12.75">
      <c r="A21" s="480" t="s">
        <v>13</v>
      </c>
      <c r="B21" s="481" t="s">
        <v>228</v>
      </c>
      <c r="C21" s="482" t="s">
        <v>232</v>
      </c>
      <c r="D21" s="465">
        <v>926</v>
      </c>
      <c r="E21" s="465">
        <v>92601</v>
      </c>
      <c r="F21" s="484">
        <f>SUM(G21:H21)</f>
        <v>200000</v>
      </c>
      <c r="G21" s="485">
        <v>200000</v>
      </c>
      <c r="H21" s="486"/>
    </row>
    <row r="22" spans="1:8" s="487" customFormat="1" ht="13.5" thickBot="1">
      <c r="A22" s="464"/>
      <c r="B22" s="488"/>
      <c r="C22" s="463"/>
      <c r="D22" s="465"/>
      <c r="E22" s="465"/>
      <c r="F22" s="489"/>
      <c r="G22" s="489"/>
      <c r="H22" s="490"/>
    </row>
    <row r="23" spans="1:8" ht="12.75">
      <c r="A23" s="468"/>
      <c r="B23" s="547"/>
      <c r="C23" s="548"/>
      <c r="D23" s="469"/>
      <c r="E23" s="469"/>
      <c r="F23" s="491"/>
      <c r="G23" s="491"/>
      <c r="H23" s="492"/>
    </row>
    <row r="24" spans="1:8" ht="13.5" thickBot="1">
      <c r="A24" s="471"/>
      <c r="B24" s="906" t="s">
        <v>212</v>
      </c>
      <c r="C24" s="907"/>
      <c r="D24" s="472" t="s">
        <v>218</v>
      </c>
      <c r="E24" s="472" t="s">
        <v>218</v>
      </c>
      <c r="F24" s="493">
        <f>SUM(F11:F22)</f>
        <v>391631</v>
      </c>
      <c r="G24" s="493">
        <f>SUM(G11:G22)</f>
        <v>200000</v>
      </c>
      <c r="H24" s="494">
        <f>SUM(H11:H22)</f>
        <v>191631</v>
      </c>
    </row>
    <row r="26" ht="12">
      <c r="H26" s="26"/>
    </row>
    <row r="27" ht="12">
      <c r="H27" s="20"/>
    </row>
  </sheetData>
  <sheetProtection/>
  <mergeCells count="11">
    <mergeCell ref="B24:C24"/>
    <mergeCell ref="G1:H1"/>
    <mergeCell ref="A4:H4"/>
    <mergeCell ref="A6:A8"/>
    <mergeCell ref="B6:B8"/>
    <mergeCell ref="C6:C8"/>
    <mergeCell ref="D6:D8"/>
    <mergeCell ref="E6:E8"/>
    <mergeCell ref="F6:H6"/>
    <mergeCell ref="F7:F8"/>
    <mergeCell ref="G7:H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S207"/>
  <sheetViews>
    <sheetView showGridLines="0" view="pageBreakPreview" zoomScaleSheetLayoutView="100" zoomScalePageLayoutView="0" workbookViewId="0" topLeftCell="G1">
      <selection activeCell="N1" sqref="N1:O1"/>
    </sheetView>
  </sheetViews>
  <sheetFormatPr defaultColWidth="9.140625" defaultRowHeight="12.75"/>
  <cols>
    <col min="1" max="1" width="4.421875" style="260" bestFit="1" customWidth="1"/>
    <col min="2" max="2" width="4.8515625" style="261" bestFit="1" customWidth="1"/>
    <col min="3" max="3" width="8.28125" style="261" bestFit="1" customWidth="1"/>
    <col min="4" max="4" width="35.8515625" style="25" bestFit="1" customWidth="1"/>
    <col min="5" max="5" width="37.28125" style="25" customWidth="1"/>
    <col min="6" max="6" width="21.28125" style="25" customWidth="1"/>
    <col min="7" max="7" width="11.57421875" style="24" customWidth="1"/>
    <col min="8" max="8" width="11.8515625" style="24" bestFit="1" customWidth="1"/>
    <col min="9" max="9" width="13.7109375" style="24" bestFit="1" customWidth="1"/>
    <col min="10" max="10" width="16.421875" style="24" bestFit="1" customWidth="1"/>
    <col min="11" max="11" width="17.8515625" style="24" bestFit="1" customWidth="1"/>
    <col min="12" max="12" width="15.140625" style="24" customWidth="1"/>
    <col min="13" max="15" width="14.8515625" style="24" customWidth="1"/>
    <col min="16" max="16" width="12.8515625" style="20" bestFit="1" customWidth="1"/>
    <col min="17" max="17" width="15.28125" style="20" bestFit="1" customWidth="1"/>
    <col min="18" max="18" width="12.57421875" style="20" bestFit="1" customWidth="1"/>
    <col min="19" max="19" width="10.28125" style="20" bestFit="1" customWidth="1"/>
    <col min="20" max="16384" width="9.140625" style="20" customWidth="1"/>
  </cols>
  <sheetData>
    <row r="1" spans="1:15" ht="59.25" customHeight="1">
      <c r="A1" s="198"/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1"/>
      <c r="N1" s="966" t="s">
        <v>366</v>
      </c>
      <c r="O1" s="966"/>
    </row>
    <row r="2" spans="1:15" ht="51" customHeight="1">
      <c r="A2" s="945" t="s">
        <v>76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8.75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  <c r="M3" s="205"/>
      <c r="N3" s="205"/>
      <c r="O3" s="206" t="s">
        <v>6</v>
      </c>
    </row>
    <row r="4" spans="1:15" s="207" customFormat="1" ht="36.75" customHeight="1">
      <c r="A4" s="947" t="s">
        <v>7</v>
      </c>
      <c r="B4" s="928" t="s">
        <v>0</v>
      </c>
      <c r="C4" s="928" t="s">
        <v>1</v>
      </c>
      <c r="D4" s="928" t="s">
        <v>77</v>
      </c>
      <c r="E4" s="928" t="s">
        <v>78</v>
      </c>
      <c r="F4" s="928" t="s">
        <v>79</v>
      </c>
      <c r="G4" s="928" t="s">
        <v>22</v>
      </c>
      <c r="H4" s="928"/>
      <c r="I4" s="928" t="s">
        <v>80</v>
      </c>
      <c r="J4" s="928" t="s">
        <v>81</v>
      </c>
      <c r="K4" s="930" t="s">
        <v>82</v>
      </c>
      <c r="L4" s="939" t="s">
        <v>83</v>
      </c>
      <c r="M4" s="939"/>
      <c r="N4" s="940"/>
      <c r="O4" s="941"/>
    </row>
    <row r="5" spans="1:15" s="207" customFormat="1" ht="45.75" customHeight="1">
      <c r="A5" s="948"/>
      <c r="B5" s="929"/>
      <c r="C5" s="929"/>
      <c r="D5" s="929"/>
      <c r="E5" s="929"/>
      <c r="F5" s="929"/>
      <c r="G5" s="208" t="s">
        <v>84</v>
      </c>
      <c r="H5" s="208" t="s">
        <v>85</v>
      </c>
      <c r="I5" s="929"/>
      <c r="J5" s="929"/>
      <c r="K5" s="931"/>
      <c r="L5" s="209">
        <v>2009</v>
      </c>
      <c r="M5" s="210">
        <v>2010</v>
      </c>
      <c r="N5" s="519">
        <v>2011</v>
      </c>
      <c r="O5" s="211">
        <v>2012</v>
      </c>
    </row>
    <row r="6" spans="1:15" s="217" customFormat="1" ht="15" customHeight="1" thickBot="1">
      <c r="A6" s="212">
        <v>1</v>
      </c>
      <c r="B6" s="213">
        <v>2</v>
      </c>
      <c r="C6" s="213">
        <v>3</v>
      </c>
      <c r="D6" s="214">
        <v>4</v>
      </c>
      <c r="E6" s="214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5">
        <v>12</v>
      </c>
      <c r="M6" s="214">
        <v>13</v>
      </c>
      <c r="N6" s="520">
        <v>14</v>
      </c>
      <c r="O6" s="216">
        <v>15</v>
      </c>
    </row>
    <row r="7" spans="1:18" s="228" customFormat="1" ht="12.75" customHeight="1">
      <c r="A7" s="920" t="s">
        <v>8</v>
      </c>
      <c r="B7" s="923">
        <v>750</v>
      </c>
      <c r="C7" s="923">
        <v>75023</v>
      </c>
      <c r="D7" s="917" t="s">
        <v>86</v>
      </c>
      <c r="E7" s="917" t="s">
        <v>299</v>
      </c>
      <c r="F7" s="949" t="s">
        <v>89</v>
      </c>
      <c r="G7" s="923">
        <v>2008</v>
      </c>
      <c r="H7" s="923">
        <v>2010</v>
      </c>
      <c r="I7" s="942">
        <v>1406509</v>
      </c>
      <c r="J7" s="942">
        <v>1406509</v>
      </c>
      <c r="K7" s="218" t="s">
        <v>87</v>
      </c>
      <c r="L7" s="536">
        <f>SUM(L8:L10)</f>
        <v>18008</v>
      </c>
      <c r="M7" s="219">
        <f>SUM(M8:M10)</f>
        <v>1381951</v>
      </c>
      <c r="N7" s="521">
        <f>SUM(N8:N10)</f>
        <v>0</v>
      </c>
      <c r="O7" s="220">
        <f>SUM(O8:O10)</f>
        <v>0</v>
      </c>
      <c r="P7" s="229"/>
      <c r="Q7" s="527"/>
      <c r="R7" s="229"/>
    </row>
    <row r="8" spans="1:17" s="228" customFormat="1" ht="12.75">
      <c r="A8" s="921"/>
      <c r="B8" s="914"/>
      <c r="C8" s="914"/>
      <c r="D8" s="918"/>
      <c r="E8" s="918"/>
      <c r="F8" s="938"/>
      <c r="G8" s="914"/>
      <c r="H8" s="914"/>
      <c r="I8" s="943"/>
      <c r="J8" s="943"/>
      <c r="K8" s="221" t="s">
        <v>34</v>
      </c>
      <c r="L8" s="517">
        <f>1545+720+437</f>
        <v>2702</v>
      </c>
      <c r="M8" s="743">
        <v>207293</v>
      </c>
      <c r="N8" s="227">
        <v>0</v>
      </c>
      <c r="O8" s="223">
        <v>0</v>
      </c>
      <c r="P8" s="528"/>
      <c r="Q8" s="529"/>
    </row>
    <row r="9" spans="1:17" s="228" customFormat="1" ht="12.75">
      <c r="A9" s="921"/>
      <c r="B9" s="914"/>
      <c r="C9" s="914"/>
      <c r="D9" s="918"/>
      <c r="E9" s="918"/>
      <c r="F9" s="938"/>
      <c r="G9" s="914"/>
      <c r="H9" s="914"/>
      <c r="I9" s="943"/>
      <c r="J9" s="943"/>
      <c r="K9" s="221" t="s">
        <v>38</v>
      </c>
      <c r="L9" s="517">
        <f>8752+4080+2474</f>
        <v>15306</v>
      </c>
      <c r="M9" s="743">
        <v>1174658</v>
      </c>
      <c r="N9" s="227">
        <v>0</v>
      </c>
      <c r="O9" s="223">
        <v>0</v>
      </c>
      <c r="P9" s="528"/>
      <c r="Q9" s="530"/>
    </row>
    <row r="10" spans="1:16" s="230" customFormat="1" ht="13.5" thickBot="1">
      <c r="A10" s="922"/>
      <c r="B10" s="924"/>
      <c r="C10" s="924"/>
      <c r="D10" s="919"/>
      <c r="E10" s="919"/>
      <c r="F10" s="950"/>
      <c r="G10" s="924"/>
      <c r="H10" s="924"/>
      <c r="I10" s="944"/>
      <c r="J10" s="944"/>
      <c r="K10" s="224" t="s">
        <v>88</v>
      </c>
      <c r="L10" s="225"/>
      <c r="M10" s="225">
        <v>0</v>
      </c>
      <c r="N10" s="522">
        <v>0</v>
      </c>
      <c r="O10" s="226">
        <v>0</v>
      </c>
      <c r="P10" s="229"/>
    </row>
    <row r="11" spans="1:16" s="230" customFormat="1" ht="12.75">
      <c r="A11" s="920" t="s">
        <v>9</v>
      </c>
      <c r="B11" s="923">
        <v>750</v>
      </c>
      <c r="C11" s="923">
        <v>75095</v>
      </c>
      <c r="D11" s="917" t="s">
        <v>149</v>
      </c>
      <c r="E11" s="917" t="s">
        <v>150</v>
      </c>
      <c r="F11" s="949" t="s">
        <v>97</v>
      </c>
      <c r="G11" s="923">
        <v>2009</v>
      </c>
      <c r="H11" s="923">
        <v>2009</v>
      </c>
      <c r="I11" s="942">
        <v>18450</v>
      </c>
      <c r="J11" s="942">
        <v>18450</v>
      </c>
      <c r="K11" s="218" t="s">
        <v>87</v>
      </c>
      <c r="L11" s="536">
        <f>SUM(L12:L14)</f>
        <v>18450</v>
      </c>
      <c r="M11" s="219">
        <f>SUM(M12:M14)</f>
        <v>0</v>
      </c>
      <c r="N11" s="521">
        <f>SUM(N12:N14)</f>
        <v>0</v>
      </c>
      <c r="O11" s="220">
        <f>SUM(O12:O14)</f>
        <v>0</v>
      </c>
      <c r="P11" s="229"/>
    </row>
    <row r="12" spans="1:16" s="230" customFormat="1" ht="12.75">
      <c r="A12" s="921"/>
      <c r="B12" s="914"/>
      <c r="C12" s="914"/>
      <c r="D12" s="918"/>
      <c r="E12" s="918"/>
      <c r="F12" s="938"/>
      <c r="G12" s="914"/>
      <c r="H12" s="914"/>
      <c r="I12" s="943"/>
      <c r="J12" s="943"/>
      <c r="K12" s="221" t="s">
        <v>34</v>
      </c>
      <c r="L12" s="517">
        <f>15800-7350</f>
        <v>8450</v>
      </c>
      <c r="M12" s="227">
        <v>0</v>
      </c>
      <c r="N12" s="227">
        <v>0</v>
      </c>
      <c r="O12" s="223">
        <v>0</v>
      </c>
      <c r="P12" s="229"/>
    </row>
    <row r="13" spans="1:16" s="230" customFormat="1" ht="12.75">
      <c r="A13" s="921"/>
      <c r="B13" s="914"/>
      <c r="C13" s="914"/>
      <c r="D13" s="918"/>
      <c r="E13" s="918"/>
      <c r="F13" s="938"/>
      <c r="G13" s="914"/>
      <c r="H13" s="914"/>
      <c r="I13" s="943"/>
      <c r="J13" s="943"/>
      <c r="K13" s="221" t="s">
        <v>38</v>
      </c>
      <c r="L13" s="517">
        <v>10000</v>
      </c>
      <c r="M13" s="227">
        <v>0</v>
      </c>
      <c r="N13" s="227">
        <v>0</v>
      </c>
      <c r="O13" s="223">
        <v>0</v>
      </c>
      <c r="P13" s="229"/>
    </row>
    <row r="14" spans="1:16" s="230" customFormat="1" ht="13.5" thickBot="1">
      <c r="A14" s="922"/>
      <c r="B14" s="924"/>
      <c r="C14" s="924"/>
      <c r="D14" s="919"/>
      <c r="E14" s="919"/>
      <c r="F14" s="950"/>
      <c r="G14" s="924"/>
      <c r="H14" s="924"/>
      <c r="I14" s="944"/>
      <c r="J14" s="944"/>
      <c r="K14" s="224" t="s">
        <v>88</v>
      </c>
      <c r="L14" s="225">
        <v>0</v>
      </c>
      <c r="M14" s="225">
        <v>0</v>
      </c>
      <c r="N14" s="522">
        <v>0</v>
      </c>
      <c r="O14" s="226"/>
      <c r="P14" s="229"/>
    </row>
    <row r="15" spans="1:16" s="228" customFormat="1" ht="12.75" customHeight="1">
      <c r="A15" s="920" t="s">
        <v>10</v>
      </c>
      <c r="B15" s="923">
        <v>801</v>
      </c>
      <c r="C15" s="923">
        <v>80101</v>
      </c>
      <c r="D15" s="917" t="s">
        <v>90</v>
      </c>
      <c r="E15" s="951" t="s">
        <v>91</v>
      </c>
      <c r="F15" s="953" t="s">
        <v>92</v>
      </c>
      <c r="G15" s="923">
        <v>2009</v>
      </c>
      <c r="H15" s="923">
        <v>2009</v>
      </c>
      <c r="I15" s="936">
        <v>3000</v>
      </c>
      <c r="J15" s="936">
        <v>3000</v>
      </c>
      <c r="K15" s="218" t="s">
        <v>87</v>
      </c>
      <c r="L15" s="219">
        <f>SUM(L16:L18)</f>
        <v>3000</v>
      </c>
      <c r="M15" s="219">
        <f>SUM(M16:M18)</f>
        <v>0</v>
      </c>
      <c r="N15" s="521">
        <v>0</v>
      </c>
      <c r="O15" s="220">
        <v>0</v>
      </c>
      <c r="P15" s="531"/>
    </row>
    <row r="16" spans="1:17" s="228" customFormat="1" ht="12.75">
      <c r="A16" s="921"/>
      <c r="B16" s="914"/>
      <c r="C16" s="914"/>
      <c r="D16" s="918"/>
      <c r="E16" s="925"/>
      <c r="F16" s="938"/>
      <c r="G16" s="914"/>
      <c r="H16" s="914"/>
      <c r="I16" s="932"/>
      <c r="J16" s="932"/>
      <c r="K16" s="221" t="s">
        <v>34</v>
      </c>
      <c r="L16" s="222">
        <f>600+800</f>
        <v>1400</v>
      </c>
      <c r="M16" s="222">
        <v>0</v>
      </c>
      <c r="N16" s="227">
        <v>0</v>
      </c>
      <c r="O16" s="223">
        <v>0</v>
      </c>
      <c r="P16" s="531"/>
      <c r="Q16" s="532"/>
    </row>
    <row r="17" spans="1:17" s="228" customFormat="1" ht="12.75">
      <c r="A17" s="921"/>
      <c r="B17" s="914"/>
      <c r="C17" s="914"/>
      <c r="D17" s="918"/>
      <c r="E17" s="925"/>
      <c r="F17" s="938"/>
      <c r="G17" s="914"/>
      <c r="H17" s="914"/>
      <c r="I17" s="932"/>
      <c r="J17" s="932"/>
      <c r="K17" s="221" t="s">
        <v>38</v>
      </c>
      <c r="L17" s="222">
        <f>2400-800</f>
        <v>1600</v>
      </c>
      <c r="M17" s="222">
        <v>0</v>
      </c>
      <c r="N17" s="227">
        <v>0</v>
      </c>
      <c r="O17" s="223">
        <v>0</v>
      </c>
      <c r="P17" s="531"/>
      <c r="Q17" s="229"/>
    </row>
    <row r="18" spans="1:16" s="230" customFormat="1" ht="13.5" thickBot="1">
      <c r="A18" s="922"/>
      <c r="B18" s="924"/>
      <c r="C18" s="924"/>
      <c r="D18" s="919"/>
      <c r="E18" s="952"/>
      <c r="F18" s="950"/>
      <c r="G18" s="924"/>
      <c r="H18" s="924"/>
      <c r="I18" s="937"/>
      <c r="J18" s="937"/>
      <c r="K18" s="224" t="s">
        <v>88</v>
      </c>
      <c r="L18" s="225">
        <v>0</v>
      </c>
      <c r="M18" s="225">
        <v>0</v>
      </c>
      <c r="N18" s="522">
        <v>0</v>
      </c>
      <c r="O18" s="226">
        <v>0</v>
      </c>
      <c r="P18" s="531"/>
    </row>
    <row r="19" spans="1:16" s="228" customFormat="1" ht="12.75" customHeight="1">
      <c r="A19" s="920" t="s">
        <v>11</v>
      </c>
      <c r="B19" s="923">
        <v>801</v>
      </c>
      <c r="C19" s="923">
        <v>80101</v>
      </c>
      <c r="D19" s="917" t="s">
        <v>90</v>
      </c>
      <c r="E19" s="951" t="s">
        <v>240</v>
      </c>
      <c r="F19" s="953" t="s">
        <v>92</v>
      </c>
      <c r="G19" s="923">
        <v>2009</v>
      </c>
      <c r="H19" s="923">
        <v>2009</v>
      </c>
      <c r="I19" s="936">
        <v>3000</v>
      </c>
      <c r="J19" s="936">
        <v>3000</v>
      </c>
      <c r="K19" s="218" t="s">
        <v>87</v>
      </c>
      <c r="L19" s="219">
        <f>SUM(L20:L22)</f>
        <v>3000</v>
      </c>
      <c r="M19" s="219">
        <f>SUM(M20:M22)</f>
        <v>0</v>
      </c>
      <c r="N19" s="521">
        <v>0</v>
      </c>
      <c r="O19" s="220">
        <v>0</v>
      </c>
      <c r="P19" s="531"/>
    </row>
    <row r="20" spans="1:17" s="228" customFormat="1" ht="12.75">
      <c r="A20" s="921"/>
      <c r="B20" s="914"/>
      <c r="C20" s="914"/>
      <c r="D20" s="918"/>
      <c r="E20" s="925"/>
      <c r="F20" s="938"/>
      <c r="G20" s="914"/>
      <c r="H20" s="914"/>
      <c r="I20" s="932"/>
      <c r="J20" s="932"/>
      <c r="K20" s="221" t="s">
        <v>34</v>
      </c>
      <c r="L20" s="222">
        <v>0</v>
      </c>
      <c r="M20" s="222">
        <v>0</v>
      </c>
      <c r="N20" s="227">
        <v>0</v>
      </c>
      <c r="O20" s="223">
        <v>0</v>
      </c>
      <c r="P20" s="531"/>
      <c r="Q20" s="532"/>
    </row>
    <row r="21" spans="1:17" s="228" customFormat="1" ht="12.75">
      <c r="A21" s="921"/>
      <c r="B21" s="914"/>
      <c r="C21" s="914"/>
      <c r="D21" s="918"/>
      <c r="E21" s="925"/>
      <c r="F21" s="938"/>
      <c r="G21" s="914"/>
      <c r="H21" s="914"/>
      <c r="I21" s="932"/>
      <c r="J21" s="932"/>
      <c r="K21" s="221" t="s">
        <v>38</v>
      </c>
      <c r="L21" s="222">
        <f>2400-800</f>
        <v>1600</v>
      </c>
      <c r="M21" s="222">
        <v>0</v>
      </c>
      <c r="N21" s="227">
        <v>0</v>
      </c>
      <c r="O21" s="223">
        <v>0</v>
      </c>
      <c r="P21" s="531"/>
      <c r="Q21" s="229"/>
    </row>
    <row r="22" spans="1:16" s="230" customFormat="1" ht="13.5" thickBot="1">
      <c r="A22" s="922"/>
      <c r="B22" s="924"/>
      <c r="C22" s="924"/>
      <c r="D22" s="919"/>
      <c r="E22" s="952"/>
      <c r="F22" s="950"/>
      <c r="G22" s="924"/>
      <c r="H22" s="924"/>
      <c r="I22" s="937"/>
      <c r="J22" s="937"/>
      <c r="K22" s="224" t="s">
        <v>88</v>
      </c>
      <c r="L22" s="225">
        <v>1400</v>
      </c>
      <c r="M22" s="225">
        <v>0</v>
      </c>
      <c r="N22" s="522">
        <v>0</v>
      </c>
      <c r="O22" s="226">
        <v>0</v>
      </c>
      <c r="P22" s="531"/>
    </row>
    <row r="23" spans="1:16" s="228" customFormat="1" ht="12.75" customHeight="1">
      <c r="A23" s="920" t="s">
        <v>12</v>
      </c>
      <c r="B23" s="923">
        <v>801</v>
      </c>
      <c r="C23" s="923">
        <v>80110</v>
      </c>
      <c r="D23" s="917" t="s">
        <v>90</v>
      </c>
      <c r="E23" s="917" t="s">
        <v>294</v>
      </c>
      <c r="F23" s="953" t="s">
        <v>295</v>
      </c>
      <c r="G23" s="923">
        <v>2009</v>
      </c>
      <c r="H23" s="923">
        <v>2009</v>
      </c>
      <c r="I23" s="936">
        <v>5000</v>
      </c>
      <c r="J23" s="936">
        <v>5000</v>
      </c>
      <c r="K23" s="218" t="s">
        <v>87</v>
      </c>
      <c r="L23" s="231">
        <f>SUM(L24:L26)</f>
        <v>5000</v>
      </c>
      <c r="M23" s="219">
        <f>SUM(M24:M26)</f>
        <v>0</v>
      </c>
      <c r="N23" s="521">
        <v>0</v>
      </c>
      <c r="O23" s="220">
        <v>0</v>
      </c>
      <c r="P23" s="229"/>
    </row>
    <row r="24" spans="1:19" s="228" customFormat="1" ht="12.75">
      <c r="A24" s="921"/>
      <c r="B24" s="914"/>
      <c r="C24" s="914"/>
      <c r="D24" s="918"/>
      <c r="E24" s="918"/>
      <c r="F24" s="938"/>
      <c r="G24" s="914"/>
      <c r="H24" s="914"/>
      <c r="I24" s="932"/>
      <c r="J24" s="932"/>
      <c r="K24" s="221" t="s">
        <v>34</v>
      </c>
      <c r="L24" s="232">
        <v>0</v>
      </c>
      <c r="M24" s="222">
        <v>0</v>
      </c>
      <c r="N24" s="227">
        <v>0</v>
      </c>
      <c r="O24" s="223">
        <v>0</v>
      </c>
      <c r="P24" s="229"/>
      <c r="Q24" s="533"/>
      <c r="R24" s="260"/>
      <c r="S24" s="260"/>
    </row>
    <row r="25" spans="1:19" s="228" customFormat="1" ht="12.75">
      <c r="A25" s="921"/>
      <c r="B25" s="914"/>
      <c r="C25" s="914"/>
      <c r="D25" s="918"/>
      <c r="E25" s="918"/>
      <c r="F25" s="938"/>
      <c r="G25" s="914"/>
      <c r="H25" s="914"/>
      <c r="I25" s="932"/>
      <c r="J25" s="932"/>
      <c r="K25" s="221" t="s">
        <v>38</v>
      </c>
      <c r="L25" s="222">
        <v>3000</v>
      </c>
      <c r="M25" s="222">
        <v>0</v>
      </c>
      <c r="N25" s="227">
        <v>0</v>
      </c>
      <c r="O25" s="223">
        <v>0</v>
      </c>
      <c r="P25" s="229"/>
      <c r="Q25" s="229"/>
      <c r="R25" s="510"/>
      <c r="S25" s="534"/>
    </row>
    <row r="26" spans="1:19" s="230" customFormat="1" ht="14.25" customHeight="1" thickBot="1">
      <c r="A26" s="922"/>
      <c r="B26" s="924"/>
      <c r="C26" s="924"/>
      <c r="D26" s="919"/>
      <c r="E26" s="919"/>
      <c r="F26" s="950"/>
      <c r="G26" s="924"/>
      <c r="H26" s="924"/>
      <c r="I26" s="937"/>
      <c r="J26" s="937"/>
      <c r="K26" s="224" t="s">
        <v>88</v>
      </c>
      <c r="L26" s="225">
        <v>2000</v>
      </c>
      <c r="M26" s="225">
        <v>0</v>
      </c>
      <c r="N26" s="522">
        <v>0</v>
      </c>
      <c r="O26" s="226">
        <v>0</v>
      </c>
      <c r="P26" s="229"/>
      <c r="Q26" s="229"/>
      <c r="R26" s="511"/>
      <c r="S26" s="534"/>
    </row>
    <row r="27" spans="1:16" s="228" customFormat="1" ht="12.75" customHeight="1">
      <c r="A27" s="920" t="s">
        <v>13</v>
      </c>
      <c r="B27" s="923">
        <v>801</v>
      </c>
      <c r="C27" s="923">
        <v>80110</v>
      </c>
      <c r="D27" s="917" t="s">
        <v>90</v>
      </c>
      <c r="E27" s="917" t="s">
        <v>296</v>
      </c>
      <c r="F27" s="953" t="s">
        <v>295</v>
      </c>
      <c r="G27" s="923">
        <v>2009</v>
      </c>
      <c r="H27" s="923">
        <v>2009</v>
      </c>
      <c r="I27" s="936">
        <v>1361</v>
      </c>
      <c r="J27" s="936">
        <v>1361</v>
      </c>
      <c r="K27" s="218" t="s">
        <v>87</v>
      </c>
      <c r="L27" s="231">
        <f>SUM(L28:L30)</f>
        <v>1361</v>
      </c>
      <c r="M27" s="219">
        <f>SUM(M28:M30)</f>
        <v>0</v>
      </c>
      <c r="N27" s="521">
        <v>0</v>
      </c>
      <c r="O27" s="220">
        <v>0</v>
      </c>
      <c r="P27" s="229"/>
    </row>
    <row r="28" spans="1:19" s="228" customFormat="1" ht="12.75">
      <c r="A28" s="921"/>
      <c r="B28" s="914"/>
      <c r="C28" s="914"/>
      <c r="D28" s="918"/>
      <c r="E28" s="918"/>
      <c r="F28" s="938"/>
      <c r="G28" s="914"/>
      <c r="H28" s="914"/>
      <c r="I28" s="932"/>
      <c r="J28" s="932"/>
      <c r="K28" s="221" t="s">
        <v>34</v>
      </c>
      <c r="L28" s="232">
        <v>0</v>
      </c>
      <c r="M28" s="222">
        <v>0</v>
      </c>
      <c r="N28" s="227">
        <v>0</v>
      </c>
      <c r="O28" s="223">
        <v>0</v>
      </c>
      <c r="P28" s="229"/>
      <c r="Q28" s="533"/>
      <c r="R28" s="260"/>
      <c r="S28" s="260"/>
    </row>
    <row r="29" spans="1:19" s="228" customFormat="1" ht="12.75">
      <c r="A29" s="921"/>
      <c r="B29" s="914"/>
      <c r="C29" s="914"/>
      <c r="D29" s="918"/>
      <c r="E29" s="918"/>
      <c r="F29" s="938"/>
      <c r="G29" s="914"/>
      <c r="H29" s="914"/>
      <c r="I29" s="932"/>
      <c r="J29" s="932"/>
      <c r="K29" s="221" t="s">
        <v>38</v>
      </c>
      <c r="L29" s="222">
        <v>400</v>
      </c>
      <c r="M29" s="222">
        <v>0</v>
      </c>
      <c r="N29" s="227">
        <v>0</v>
      </c>
      <c r="O29" s="223">
        <v>0</v>
      </c>
      <c r="P29" s="229"/>
      <c r="Q29" s="229"/>
      <c r="R29" s="510"/>
      <c r="S29" s="534"/>
    </row>
    <row r="30" spans="1:19" s="230" customFormat="1" ht="14.25" customHeight="1" thickBot="1">
      <c r="A30" s="922"/>
      <c r="B30" s="924"/>
      <c r="C30" s="924"/>
      <c r="D30" s="919"/>
      <c r="E30" s="919"/>
      <c r="F30" s="950"/>
      <c r="G30" s="924"/>
      <c r="H30" s="924"/>
      <c r="I30" s="937"/>
      <c r="J30" s="937"/>
      <c r="K30" s="224" t="s">
        <v>88</v>
      </c>
      <c r="L30" s="225">
        <v>961</v>
      </c>
      <c r="M30" s="225">
        <v>0</v>
      </c>
      <c r="N30" s="522">
        <v>0</v>
      </c>
      <c r="O30" s="226">
        <v>0</v>
      </c>
      <c r="P30" s="229"/>
      <c r="Q30" s="229"/>
      <c r="R30" s="511"/>
      <c r="S30" s="534"/>
    </row>
    <row r="31" spans="1:16" s="228" customFormat="1" ht="12.75" customHeight="1">
      <c r="A31" s="920" t="s">
        <v>14</v>
      </c>
      <c r="B31" s="923">
        <v>801</v>
      </c>
      <c r="C31" s="923">
        <v>80110</v>
      </c>
      <c r="D31" s="917" t="s">
        <v>90</v>
      </c>
      <c r="E31" s="951" t="s">
        <v>241</v>
      </c>
      <c r="F31" s="953" t="s">
        <v>93</v>
      </c>
      <c r="G31" s="923">
        <v>2009</v>
      </c>
      <c r="H31" s="923">
        <v>2009</v>
      </c>
      <c r="I31" s="936">
        <v>500</v>
      </c>
      <c r="J31" s="936">
        <v>500</v>
      </c>
      <c r="K31" s="218" t="s">
        <v>87</v>
      </c>
      <c r="L31" s="219">
        <f>SUM(L32:L34)</f>
        <v>500</v>
      </c>
      <c r="M31" s="219">
        <f>SUM(M32:M34)</f>
        <v>0</v>
      </c>
      <c r="N31" s="521">
        <v>0</v>
      </c>
      <c r="O31" s="220">
        <v>0</v>
      </c>
      <c r="P31" s="229"/>
    </row>
    <row r="32" spans="1:17" s="228" customFormat="1" ht="12.75">
      <c r="A32" s="921"/>
      <c r="B32" s="914"/>
      <c r="C32" s="914"/>
      <c r="D32" s="918"/>
      <c r="E32" s="925"/>
      <c r="F32" s="938"/>
      <c r="G32" s="914"/>
      <c r="H32" s="914"/>
      <c r="I32" s="932"/>
      <c r="J32" s="932"/>
      <c r="K32" s="221" t="s">
        <v>34</v>
      </c>
      <c r="L32" s="222">
        <v>200</v>
      </c>
      <c r="M32" s="222">
        <v>0</v>
      </c>
      <c r="N32" s="227">
        <v>0</v>
      </c>
      <c r="O32" s="223">
        <v>0</v>
      </c>
      <c r="P32" s="229"/>
      <c r="Q32" s="532"/>
    </row>
    <row r="33" spans="1:17" s="228" customFormat="1" ht="12.75">
      <c r="A33" s="921"/>
      <c r="B33" s="914"/>
      <c r="C33" s="914"/>
      <c r="D33" s="918"/>
      <c r="E33" s="925"/>
      <c r="F33" s="938"/>
      <c r="G33" s="914"/>
      <c r="H33" s="914"/>
      <c r="I33" s="932"/>
      <c r="J33" s="932"/>
      <c r="K33" s="221" t="s">
        <v>38</v>
      </c>
      <c r="L33" s="222">
        <v>300</v>
      </c>
      <c r="M33" s="222">
        <v>0</v>
      </c>
      <c r="N33" s="227">
        <v>0</v>
      </c>
      <c r="O33" s="223">
        <v>0</v>
      </c>
      <c r="P33" s="229"/>
      <c r="Q33" s="229"/>
    </row>
    <row r="34" spans="1:16" s="230" customFormat="1" ht="13.5" thickBot="1">
      <c r="A34" s="922"/>
      <c r="B34" s="924"/>
      <c r="C34" s="924"/>
      <c r="D34" s="919"/>
      <c r="E34" s="952"/>
      <c r="F34" s="950"/>
      <c r="G34" s="924"/>
      <c r="H34" s="924"/>
      <c r="I34" s="937"/>
      <c r="J34" s="937"/>
      <c r="K34" s="224" t="s">
        <v>88</v>
      </c>
      <c r="L34" s="225">
        <v>0</v>
      </c>
      <c r="M34" s="225">
        <v>0</v>
      </c>
      <c r="N34" s="522">
        <v>0</v>
      </c>
      <c r="O34" s="226">
        <v>0</v>
      </c>
      <c r="P34" s="229"/>
    </row>
    <row r="35" spans="1:16" s="228" customFormat="1" ht="12.75" customHeight="1">
      <c r="A35" s="920" t="s">
        <v>15</v>
      </c>
      <c r="B35" s="923">
        <v>801</v>
      </c>
      <c r="C35" s="923">
        <v>80110</v>
      </c>
      <c r="D35" s="917" t="s">
        <v>90</v>
      </c>
      <c r="E35" s="917" t="s">
        <v>94</v>
      </c>
      <c r="F35" s="953" t="s">
        <v>93</v>
      </c>
      <c r="G35" s="923">
        <v>2009</v>
      </c>
      <c r="H35" s="923">
        <v>2009</v>
      </c>
      <c r="I35" s="936">
        <v>800</v>
      </c>
      <c r="J35" s="936">
        <v>800</v>
      </c>
      <c r="K35" s="218" t="s">
        <v>87</v>
      </c>
      <c r="L35" s="231">
        <f>SUM(L36:L38)</f>
        <v>800</v>
      </c>
      <c r="M35" s="219">
        <f>SUM(M36:M38)</f>
        <v>0</v>
      </c>
      <c r="N35" s="521">
        <v>0</v>
      </c>
      <c r="O35" s="220">
        <v>0</v>
      </c>
      <c r="P35" s="229"/>
    </row>
    <row r="36" spans="1:19" s="228" customFormat="1" ht="12.75">
      <c r="A36" s="921"/>
      <c r="B36" s="914"/>
      <c r="C36" s="914"/>
      <c r="D36" s="918"/>
      <c r="E36" s="918"/>
      <c r="F36" s="938"/>
      <c r="G36" s="914"/>
      <c r="H36" s="914"/>
      <c r="I36" s="932"/>
      <c r="J36" s="932"/>
      <c r="K36" s="221" t="s">
        <v>34</v>
      </c>
      <c r="L36" s="232">
        <v>300</v>
      </c>
      <c r="M36" s="222">
        <v>0</v>
      </c>
      <c r="N36" s="227">
        <v>0</v>
      </c>
      <c r="O36" s="223">
        <v>0</v>
      </c>
      <c r="P36" s="229"/>
      <c r="Q36" s="533"/>
      <c r="R36" s="260"/>
      <c r="S36" s="260"/>
    </row>
    <row r="37" spans="1:19" s="228" customFormat="1" ht="12.75">
      <c r="A37" s="921"/>
      <c r="B37" s="914"/>
      <c r="C37" s="914"/>
      <c r="D37" s="918"/>
      <c r="E37" s="918"/>
      <c r="F37" s="938"/>
      <c r="G37" s="914"/>
      <c r="H37" s="914"/>
      <c r="I37" s="932"/>
      <c r="J37" s="932"/>
      <c r="K37" s="221" t="s">
        <v>38</v>
      </c>
      <c r="L37" s="222">
        <v>500</v>
      </c>
      <c r="M37" s="222">
        <v>0</v>
      </c>
      <c r="N37" s="227">
        <v>0</v>
      </c>
      <c r="O37" s="223">
        <v>0</v>
      </c>
      <c r="P37" s="229"/>
      <c r="Q37" s="229"/>
      <c r="R37" s="510"/>
      <c r="S37" s="534"/>
    </row>
    <row r="38" spans="1:19" s="230" customFormat="1" ht="14.25" customHeight="1" thickBot="1">
      <c r="A38" s="922"/>
      <c r="B38" s="924"/>
      <c r="C38" s="924"/>
      <c r="D38" s="919"/>
      <c r="E38" s="919"/>
      <c r="F38" s="950"/>
      <c r="G38" s="924"/>
      <c r="H38" s="924"/>
      <c r="I38" s="937"/>
      <c r="J38" s="937"/>
      <c r="K38" s="224" t="s">
        <v>88</v>
      </c>
      <c r="L38" s="225">
        <v>0</v>
      </c>
      <c r="M38" s="225">
        <v>0</v>
      </c>
      <c r="N38" s="522">
        <v>0</v>
      </c>
      <c r="O38" s="226">
        <v>0</v>
      </c>
      <c r="P38" s="229"/>
      <c r="Q38" s="229"/>
      <c r="R38" s="511"/>
      <c r="S38" s="534"/>
    </row>
    <row r="39" spans="1:19" s="230" customFormat="1" ht="12.75" customHeight="1">
      <c r="A39" s="920" t="s">
        <v>16</v>
      </c>
      <c r="B39" s="954">
        <v>853</v>
      </c>
      <c r="C39" s="954">
        <v>85395</v>
      </c>
      <c r="D39" s="951" t="s">
        <v>95</v>
      </c>
      <c r="E39" s="951" t="s">
        <v>96</v>
      </c>
      <c r="F39" s="956" t="s">
        <v>97</v>
      </c>
      <c r="G39" s="954">
        <v>2008</v>
      </c>
      <c r="H39" s="954">
        <v>2009</v>
      </c>
      <c r="I39" s="942">
        <v>465066</v>
      </c>
      <c r="J39" s="942">
        <v>465066</v>
      </c>
      <c r="K39" s="535" t="s">
        <v>87</v>
      </c>
      <c r="L39" s="536">
        <f>SUM(L40:L42)</f>
        <v>290848</v>
      </c>
      <c r="M39" s="536">
        <f>SUM(M40:M42)</f>
        <v>0</v>
      </c>
      <c r="N39" s="537">
        <v>0</v>
      </c>
      <c r="O39" s="538">
        <v>0</v>
      </c>
      <c r="P39" s="539"/>
      <c r="Q39" s="540"/>
      <c r="R39" s="511"/>
      <c r="S39" s="541"/>
    </row>
    <row r="40" spans="1:17" s="230" customFormat="1" ht="12.75">
      <c r="A40" s="921"/>
      <c r="B40" s="911"/>
      <c r="C40" s="911"/>
      <c r="D40" s="925"/>
      <c r="E40" s="925"/>
      <c r="F40" s="957"/>
      <c r="G40" s="911"/>
      <c r="H40" s="911"/>
      <c r="I40" s="943"/>
      <c r="J40" s="943"/>
      <c r="K40" s="516" t="s">
        <v>34</v>
      </c>
      <c r="L40" s="517">
        <v>0</v>
      </c>
      <c r="M40" s="517">
        <v>0</v>
      </c>
      <c r="N40" s="525">
        <v>0</v>
      </c>
      <c r="O40" s="518">
        <v>0</v>
      </c>
      <c r="P40" s="539"/>
      <c r="Q40" s="542"/>
    </row>
    <row r="41" spans="1:17" s="230" customFormat="1" ht="12.75">
      <c r="A41" s="921"/>
      <c r="B41" s="911"/>
      <c r="C41" s="911"/>
      <c r="D41" s="925"/>
      <c r="E41" s="925"/>
      <c r="F41" s="957"/>
      <c r="G41" s="911"/>
      <c r="H41" s="911"/>
      <c r="I41" s="943"/>
      <c r="J41" s="943"/>
      <c r="K41" s="516" t="s">
        <v>38</v>
      </c>
      <c r="L41" s="517">
        <f>242155+5066</f>
        <v>247221</v>
      </c>
      <c r="M41" s="517">
        <v>0</v>
      </c>
      <c r="N41" s="525">
        <v>0</v>
      </c>
      <c r="O41" s="518">
        <v>0</v>
      </c>
      <c r="P41" s="539"/>
      <c r="Q41" s="540"/>
    </row>
    <row r="42" spans="1:19" s="230" customFormat="1" ht="13.5" thickBot="1">
      <c r="A42" s="922"/>
      <c r="B42" s="955"/>
      <c r="C42" s="955"/>
      <c r="D42" s="952"/>
      <c r="E42" s="952"/>
      <c r="F42" s="958"/>
      <c r="G42" s="955"/>
      <c r="H42" s="955"/>
      <c r="I42" s="944"/>
      <c r="J42" s="944"/>
      <c r="K42" s="224" t="s">
        <v>88</v>
      </c>
      <c r="L42" s="225">
        <f>42733+894</f>
        <v>43627</v>
      </c>
      <c r="M42" s="225">
        <v>0</v>
      </c>
      <c r="N42" s="522">
        <v>0</v>
      </c>
      <c r="O42" s="226">
        <v>0</v>
      </c>
      <c r="P42" s="539"/>
      <c r="S42" s="540"/>
    </row>
    <row r="43" spans="1:16" s="230" customFormat="1" ht="12.75" customHeight="1">
      <c r="A43" s="920" t="s">
        <v>17</v>
      </c>
      <c r="B43" s="954">
        <v>853</v>
      </c>
      <c r="C43" s="954">
        <v>85395</v>
      </c>
      <c r="D43" s="951" t="s">
        <v>95</v>
      </c>
      <c r="E43" s="951" t="s">
        <v>98</v>
      </c>
      <c r="F43" s="956" t="s">
        <v>97</v>
      </c>
      <c r="G43" s="954">
        <v>2008</v>
      </c>
      <c r="H43" s="954">
        <v>2009</v>
      </c>
      <c r="I43" s="942">
        <v>47889</v>
      </c>
      <c r="J43" s="942">
        <v>47889</v>
      </c>
      <c r="K43" s="535" t="s">
        <v>87</v>
      </c>
      <c r="L43" s="536">
        <f>SUM(L44:L46)</f>
        <v>21433</v>
      </c>
      <c r="M43" s="536">
        <f>SUM(M44:M46)</f>
        <v>0</v>
      </c>
      <c r="N43" s="537">
        <v>0</v>
      </c>
      <c r="O43" s="538">
        <v>0</v>
      </c>
      <c r="P43" s="540"/>
    </row>
    <row r="44" spans="1:17" s="230" customFormat="1" ht="12.75">
      <c r="A44" s="921"/>
      <c r="B44" s="911"/>
      <c r="C44" s="911"/>
      <c r="D44" s="925"/>
      <c r="E44" s="925"/>
      <c r="F44" s="957"/>
      <c r="G44" s="911"/>
      <c r="H44" s="911"/>
      <c r="I44" s="943"/>
      <c r="J44" s="943"/>
      <c r="K44" s="516" t="s">
        <v>34</v>
      </c>
      <c r="L44" s="517">
        <v>0</v>
      </c>
      <c r="M44" s="517">
        <v>0</v>
      </c>
      <c r="N44" s="525">
        <v>0</v>
      </c>
      <c r="O44" s="518">
        <v>0</v>
      </c>
      <c r="P44" s="540"/>
      <c r="Q44" s="542"/>
    </row>
    <row r="45" spans="1:17" s="230" customFormat="1" ht="12.75">
      <c r="A45" s="921"/>
      <c r="B45" s="911"/>
      <c r="C45" s="911"/>
      <c r="D45" s="925"/>
      <c r="E45" s="925"/>
      <c r="F45" s="957"/>
      <c r="G45" s="911"/>
      <c r="H45" s="911"/>
      <c r="I45" s="943"/>
      <c r="J45" s="943"/>
      <c r="K45" s="516" t="s">
        <v>38</v>
      </c>
      <c r="L45" s="517">
        <f>21420*85%+11</f>
        <v>18218</v>
      </c>
      <c r="M45" s="517">
        <v>0</v>
      </c>
      <c r="N45" s="525">
        <v>0</v>
      </c>
      <c r="O45" s="518">
        <v>0</v>
      </c>
      <c r="P45" s="540"/>
      <c r="Q45" s="540"/>
    </row>
    <row r="46" spans="1:16" s="230" customFormat="1" ht="13.5" thickBot="1">
      <c r="A46" s="922"/>
      <c r="B46" s="955"/>
      <c r="C46" s="955"/>
      <c r="D46" s="952"/>
      <c r="E46" s="952"/>
      <c r="F46" s="958"/>
      <c r="G46" s="955"/>
      <c r="H46" s="955"/>
      <c r="I46" s="944"/>
      <c r="J46" s="944"/>
      <c r="K46" s="224" t="s">
        <v>88</v>
      </c>
      <c r="L46" s="225">
        <f>3213+2</f>
        <v>3215</v>
      </c>
      <c r="M46" s="225">
        <v>0</v>
      </c>
      <c r="N46" s="522">
        <v>0</v>
      </c>
      <c r="O46" s="226">
        <v>0</v>
      </c>
      <c r="P46" s="540"/>
    </row>
    <row r="47" spans="1:16" s="230" customFormat="1" ht="12.75" customHeight="1">
      <c r="A47" s="920" t="s">
        <v>102</v>
      </c>
      <c r="B47" s="954">
        <v>853</v>
      </c>
      <c r="C47" s="954">
        <v>85395</v>
      </c>
      <c r="D47" s="951" t="s">
        <v>95</v>
      </c>
      <c r="E47" s="951" t="s">
        <v>99</v>
      </c>
      <c r="F47" s="956" t="s">
        <v>97</v>
      </c>
      <c r="G47" s="954">
        <v>2008</v>
      </c>
      <c r="H47" s="954">
        <v>2009</v>
      </c>
      <c r="I47" s="942">
        <v>48389</v>
      </c>
      <c r="J47" s="942">
        <v>48389</v>
      </c>
      <c r="K47" s="535" t="s">
        <v>87</v>
      </c>
      <c r="L47" s="536">
        <f>SUM(L48:L50)</f>
        <v>21431</v>
      </c>
      <c r="M47" s="536">
        <f>SUM(M48:M50)</f>
        <v>0</v>
      </c>
      <c r="N47" s="537">
        <v>0</v>
      </c>
      <c r="O47" s="538">
        <v>0</v>
      </c>
      <c r="P47" s="540"/>
    </row>
    <row r="48" spans="1:17" s="230" customFormat="1" ht="12.75">
      <c r="A48" s="921"/>
      <c r="B48" s="911"/>
      <c r="C48" s="911"/>
      <c r="D48" s="925"/>
      <c r="E48" s="925"/>
      <c r="F48" s="957"/>
      <c r="G48" s="911"/>
      <c r="H48" s="911"/>
      <c r="I48" s="943"/>
      <c r="J48" s="943"/>
      <c r="K48" s="516" t="s">
        <v>34</v>
      </c>
      <c r="L48" s="517">
        <v>0</v>
      </c>
      <c r="M48" s="517">
        <v>0</v>
      </c>
      <c r="N48" s="525">
        <v>0</v>
      </c>
      <c r="O48" s="518">
        <v>0</v>
      </c>
      <c r="P48" s="540"/>
      <c r="Q48" s="542"/>
    </row>
    <row r="49" spans="1:17" s="230" customFormat="1" ht="12.75">
      <c r="A49" s="921"/>
      <c r="B49" s="911"/>
      <c r="C49" s="911"/>
      <c r="D49" s="925"/>
      <c r="E49" s="925"/>
      <c r="F49" s="957"/>
      <c r="G49" s="911"/>
      <c r="H49" s="911"/>
      <c r="I49" s="943"/>
      <c r="J49" s="943"/>
      <c r="K49" s="516" t="s">
        <v>38</v>
      </c>
      <c r="L49" s="517">
        <f>21420*85%+9</f>
        <v>18216</v>
      </c>
      <c r="M49" s="517">
        <v>0</v>
      </c>
      <c r="N49" s="525">
        <v>0</v>
      </c>
      <c r="O49" s="518">
        <v>0</v>
      </c>
      <c r="P49" s="540"/>
      <c r="Q49" s="540"/>
    </row>
    <row r="50" spans="1:16" s="230" customFormat="1" ht="14.25" customHeight="1" thickBot="1">
      <c r="A50" s="922"/>
      <c r="B50" s="955"/>
      <c r="C50" s="955"/>
      <c r="D50" s="952"/>
      <c r="E50" s="952"/>
      <c r="F50" s="958"/>
      <c r="G50" s="955"/>
      <c r="H50" s="955"/>
      <c r="I50" s="944"/>
      <c r="J50" s="944"/>
      <c r="K50" s="224" t="s">
        <v>88</v>
      </c>
      <c r="L50" s="225">
        <f>3213+2</f>
        <v>3215</v>
      </c>
      <c r="M50" s="225">
        <v>0</v>
      </c>
      <c r="N50" s="522">
        <v>0</v>
      </c>
      <c r="O50" s="226">
        <v>0</v>
      </c>
      <c r="P50" s="540"/>
    </row>
    <row r="51" spans="1:16" s="230" customFormat="1" ht="12.75" customHeight="1">
      <c r="A51" s="908" t="s">
        <v>104</v>
      </c>
      <c r="B51" s="954">
        <v>853</v>
      </c>
      <c r="C51" s="954">
        <v>85395</v>
      </c>
      <c r="D51" s="951" t="s">
        <v>95</v>
      </c>
      <c r="E51" s="951" t="s">
        <v>100</v>
      </c>
      <c r="F51" s="956" t="s">
        <v>97</v>
      </c>
      <c r="G51" s="954">
        <v>2008</v>
      </c>
      <c r="H51" s="954">
        <v>2009</v>
      </c>
      <c r="I51" s="942">
        <v>47843</v>
      </c>
      <c r="J51" s="942">
        <v>47843</v>
      </c>
      <c r="K51" s="535" t="s">
        <v>87</v>
      </c>
      <c r="L51" s="536">
        <f>SUM(L52:L54)</f>
        <v>26093</v>
      </c>
      <c r="M51" s="536">
        <f>SUM(M52:M54)</f>
        <v>0</v>
      </c>
      <c r="N51" s="537">
        <v>0</v>
      </c>
      <c r="O51" s="538">
        <v>0</v>
      </c>
      <c r="P51" s="540"/>
    </row>
    <row r="52" spans="1:17" s="230" customFormat="1" ht="12.75">
      <c r="A52" s="909"/>
      <c r="B52" s="911"/>
      <c r="C52" s="911"/>
      <c r="D52" s="925"/>
      <c r="E52" s="925"/>
      <c r="F52" s="957"/>
      <c r="G52" s="911"/>
      <c r="H52" s="911"/>
      <c r="I52" s="943"/>
      <c r="J52" s="943"/>
      <c r="K52" s="516" t="s">
        <v>34</v>
      </c>
      <c r="L52" s="517">
        <v>0</v>
      </c>
      <c r="M52" s="517">
        <v>0</v>
      </c>
      <c r="N52" s="525">
        <v>0</v>
      </c>
      <c r="O52" s="518">
        <v>0</v>
      </c>
      <c r="P52" s="540"/>
      <c r="Q52" s="542"/>
    </row>
    <row r="53" spans="1:17" s="230" customFormat="1" ht="12.75">
      <c r="A53" s="909"/>
      <c r="B53" s="911"/>
      <c r="C53" s="911"/>
      <c r="D53" s="925"/>
      <c r="E53" s="925"/>
      <c r="F53" s="957"/>
      <c r="G53" s="911"/>
      <c r="H53" s="911"/>
      <c r="I53" s="943"/>
      <c r="J53" s="943"/>
      <c r="K53" s="516" t="s">
        <v>38</v>
      </c>
      <c r="L53" s="517">
        <f>26054*85%+33</f>
        <v>22179</v>
      </c>
      <c r="M53" s="517">
        <v>0</v>
      </c>
      <c r="N53" s="525">
        <v>0</v>
      </c>
      <c r="O53" s="518">
        <v>0</v>
      </c>
      <c r="P53" s="540"/>
      <c r="Q53" s="542"/>
    </row>
    <row r="54" spans="1:17" s="230" customFormat="1" ht="14.25" customHeight="1" thickBot="1">
      <c r="A54" s="910"/>
      <c r="B54" s="955"/>
      <c r="C54" s="955"/>
      <c r="D54" s="952"/>
      <c r="E54" s="952"/>
      <c r="F54" s="958"/>
      <c r="G54" s="955"/>
      <c r="H54" s="955"/>
      <c r="I54" s="944"/>
      <c r="J54" s="944"/>
      <c r="K54" s="224" t="s">
        <v>88</v>
      </c>
      <c r="L54" s="225">
        <f>3908+6</f>
        <v>3914</v>
      </c>
      <c r="M54" s="225">
        <v>0</v>
      </c>
      <c r="N54" s="522">
        <v>0</v>
      </c>
      <c r="O54" s="226">
        <v>0</v>
      </c>
      <c r="P54" s="540"/>
      <c r="Q54" s="542"/>
    </row>
    <row r="55" spans="1:15" s="217" customFormat="1" ht="15" customHeight="1" thickBot="1">
      <c r="A55" s="233">
        <v>1</v>
      </c>
      <c r="B55" s="234">
        <v>2</v>
      </c>
      <c r="C55" s="234">
        <v>3</v>
      </c>
      <c r="D55" s="235">
        <v>4</v>
      </c>
      <c r="E55" s="235">
        <v>5</v>
      </c>
      <c r="F55" s="235">
        <v>6</v>
      </c>
      <c r="G55" s="235">
        <v>7</v>
      </c>
      <c r="H55" s="235">
        <v>8</v>
      </c>
      <c r="I55" s="235">
        <v>9</v>
      </c>
      <c r="J55" s="235">
        <v>10</v>
      </c>
      <c r="K55" s="235">
        <v>11</v>
      </c>
      <c r="L55" s="236">
        <v>12</v>
      </c>
      <c r="M55" s="235">
        <v>13</v>
      </c>
      <c r="N55" s="523">
        <v>14</v>
      </c>
      <c r="O55" s="237">
        <v>15</v>
      </c>
    </row>
    <row r="56" spans="1:16" s="230" customFormat="1" ht="12.75" customHeight="1">
      <c r="A56" s="908" t="s">
        <v>106</v>
      </c>
      <c r="B56" s="954">
        <v>853</v>
      </c>
      <c r="C56" s="954">
        <v>85395</v>
      </c>
      <c r="D56" s="951" t="s">
        <v>95</v>
      </c>
      <c r="E56" s="951" t="s">
        <v>101</v>
      </c>
      <c r="F56" s="956" t="s">
        <v>97</v>
      </c>
      <c r="G56" s="954">
        <v>2008</v>
      </c>
      <c r="H56" s="954">
        <v>2009</v>
      </c>
      <c r="I56" s="942">
        <v>49549</v>
      </c>
      <c r="J56" s="942">
        <v>49549</v>
      </c>
      <c r="K56" s="535" t="s">
        <v>87</v>
      </c>
      <c r="L56" s="536">
        <f>SUM(L57:L59)</f>
        <v>22116</v>
      </c>
      <c r="M56" s="536">
        <f>SUM(M57:M59)</f>
        <v>0</v>
      </c>
      <c r="N56" s="537">
        <v>0</v>
      </c>
      <c r="O56" s="538">
        <v>0</v>
      </c>
      <c r="P56" s="540"/>
    </row>
    <row r="57" spans="1:17" s="230" customFormat="1" ht="12.75">
      <c r="A57" s="909"/>
      <c r="B57" s="911"/>
      <c r="C57" s="911"/>
      <c r="D57" s="925"/>
      <c r="E57" s="925"/>
      <c r="F57" s="957"/>
      <c r="G57" s="911"/>
      <c r="H57" s="911"/>
      <c r="I57" s="943"/>
      <c r="J57" s="943"/>
      <c r="K57" s="516" t="s">
        <v>34</v>
      </c>
      <c r="L57" s="517">
        <v>0</v>
      </c>
      <c r="M57" s="517">
        <v>0</v>
      </c>
      <c r="N57" s="525">
        <v>0</v>
      </c>
      <c r="O57" s="518">
        <v>0</v>
      </c>
      <c r="P57" s="540"/>
      <c r="Q57" s="542"/>
    </row>
    <row r="58" spans="1:17" s="230" customFormat="1" ht="12.75">
      <c r="A58" s="909"/>
      <c r="B58" s="911"/>
      <c r="C58" s="911"/>
      <c r="D58" s="925"/>
      <c r="E58" s="925"/>
      <c r="F58" s="957"/>
      <c r="G58" s="911"/>
      <c r="H58" s="911"/>
      <c r="I58" s="943"/>
      <c r="J58" s="943"/>
      <c r="K58" s="516" t="s">
        <v>38</v>
      </c>
      <c r="L58" s="517">
        <f>22100*85%+14</f>
        <v>18799</v>
      </c>
      <c r="M58" s="517"/>
      <c r="N58" s="525">
        <v>0</v>
      </c>
      <c r="O58" s="518">
        <v>0</v>
      </c>
      <c r="P58" s="540"/>
      <c r="Q58" s="542"/>
    </row>
    <row r="59" spans="1:17" s="230" customFormat="1" ht="14.25" customHeight="1" thickBot="1">
      <c r="A59" s="910"/>
      <c r="B59" s="955"/>
      <c r="C59" s="955"/>
      <c r="D59" s="952"/>
      <c r="E59" s="952"/>
      <c r="F59" s="958"/>
      <c r="G59" s="955"/>
      <c r="H59" s="955"/>
      <c r="I59" s="944"/>
      <c r="J59" s="944"/>
      <c r="K59" s="224" t="s">
        <v>88</v>
      </c>
      <c r="L59" s="225">
        <f>3315+2</f>
        <v>3317</v>
      </c>
      <c r="M59" s="225"/>
      <c r="N59" s="522">
        <v>0</v>
      </c>
      <c r="O59" s="226">
        <v>0</v>
      </c>
      <c r="P59" s="540"/>
      <c r="Q59" s="542"/>
    </row>
    <row r="60" spans="1:16" s="230" customFormat="1" ht="12.75" customHeight="1">
      <c r="A60" s="908" t="s">
        <v>108</v>
      </c>
      <c r="B60" s="954">
        <v>853</v>
      </c>
      <c r="C60" s="954">
        <v>85395</v>
      </c>
      <c r="D60" s="951" t="s">
        <v>95</v>
      </c>
      <c r="E60" s="951" t="s">
        <v>103</v>
      </c>
      <c r="F60" s="956" t="s">
        <v>97</v>
      </c>
      <c r="G60" s="954">
        <v>2008</v>
      </c>
      <c r="H60" s="954">
        <v>2009</v>
      </c>
      <c r="I60" s="942">
        <v>48389</v>
      </c>
      <c r="J60" s="942">
        <v>48389</v>
      </c>
      <c r="K60" s="535" t="s">
        <v>87</v>
      </c>
      <c r="L60" s="536">
        <f>SUM(L61:L63)</f>
        <v>21431</v>
      </c>
      <c r="M60" s="536">
        <f>SUM(M61:M63)</f>
        <v>0</v>
      </c>
      <c r="N60" s="537">
        <v>0</v>
      </c>
      <c r="O60" s="538">
        <v>0</v>
      </c>
      <c r="P60" s="540"/>
    </row>
    <row r="61" spans="1:17" s="230" customFormat="1" ht="12.75">
      <c r="A61" s="909"/>
      <c r="B61" s="911"/>
      <c r="C61" s="911"/>
      <c r="D61" s="925"/>
      <c r="E61" s="925"/>
      <c r="F61" s="957"/>
      <c r="G61" s="911"/>
      <c r="H61" s="911"/>
      <c r="I61" s="943"/>
      <c r="J61" s="943"/>
      <c r="K61" s="516" t="s">
        <v>34</v>
      </c>
      <c r="L61" s="517">
        <v>0</v>
      </c>
      <c r="M61" s="517">
        <v>0</v>
      </c>
      <c r="N61" s="525">
        <v>0</v>
      </c>
      <c r="O61" s="518">
        <v>0</v>
      </c>
      <c r="P61" s="540"/>
      <c r="Q61" s="542"/>
    </row>
    <row r="62" spans="1:17" s="230" customFormat="1" ht="12.75">
      <c r="A62" s="909"/>
      <c r="B62" s="911"/>
      <c r="C62" s="911"/>
      <c r="D62" s="925"/>
      <c r="E62" s="925"/>
      <c r="F62" s="957"/>
      <c r="G62" s="911"/>
      <c r="H62" s="911"/>
      <c r="I62" s="943"/>
      <c r="J62" s="943"/>
      <c r="K62" s="516" t="s">
        <v>38</v>
      </c>
      <c r="L62" s="517">
        <f>21420*85%+9</f>
        <v>18216</v>
      </c>
      <c r="M62" s="517"/>
      <c r="N62" s="525">
        <v>0</v>
      </c>
      <c r="O62" s="518">
        <v>0</v>
      </c>
      <c r="P62" s="540"/>
      <c r="Q62" s="542"/>
    </row>
    <row r="63" spans="1:17" s="230" customFormat="1" ht="14.25" customHeight="1" thickBot="1">
      <c r="A63" s="910"/>
      <c r="B63" s="955"/>
      <c r="C63" s="955"/>
      <c r="D63" s="952"/>
      <c r="E63" s="952"/>
      <c r="F63" s="958"/>
      <c r="G63" s="955"/>
      <c r="H63" s="955"/>
      <c r="I63" s="944"/>
      <c r="J63" s="944"/>
      <c r="K63" s="224" t="s">
        <v>88</v>
      </c>
      <c r="L63" s="225">
        <f>3213+2</f>
        <v>3215</v>
      </c>
      <c r="M63" s="225"/>
      <c r="N63" s="522">
        <v>0</v>
      </c>
      <c r="O63" s="226">
        <v>0</v>
      </c>
      <c r="P63" s="540"/>
      <c r="Q63" s="542"/>
    </row>
    <row r="64" spans="1:16" s="230" customFormat="1" ht="12.75" customHeight="1">
      <c r="A64" s="908" t="s">
        <v>110</v>
      </c>
      <c r="B64" s="954">
        <v>853</v>
      </c>
      <c r="C64" s="954">
        <v>85395</v>
      </c>
      <c r="D64" s="951" t="s">
        <v>95</v>
      </c>
      <c r="E64" s="951" t="s">
        <v>105</v>
      </c>
      <c r="F64" s="956" t="s">
        <v>97</v>
      </c>
      <c r="G64" s="954">
        <v>2008</v>
      </c>
      <c r="H64" s="954">
        <v>2009</v>
      </c>
      <c r="I64" s="942">
        <v>49549</v>
      </c>
      <c r="J64" s="942">
        <f>I64</f>
        <v>49549</v>
      </c>
      <c r="K64" s="535" t="s">
        <v>87</v>
      </c>
      <c r="L64" s="536">
        <f>SUM(L65:L67)</f>
        <v>22116</v>
      </c>
      <c r="M64" s="536">
        <f>SUM(M65:M67)</f>
        <v>0</v>
      </c>
      <c r="N64" s="537">
        <v>0</v>
      </c>
      <c r="O64" s="538">
        <v>0</v>
      </c>
      <c r="P64" s="540"/>
    </row>
    <row r="65" spans="1:17" s="230" customFormat="1" ht="12.75">
      <c r="A65" s="909"/>
      <c r="B65" s="911"/>
      <c r="C65" s="911"/>
      <c r="D65" s="925"/>
      <c r="E65" s="925"/>
      <c r="F65" s="957"/>
      <c r="G65" s="911"/>
      <c r="H65" s="911"/>
      <c r="I65" s="943"/>
      <c r="J65" s="943"/>
      <c r="K65" s="516" t="s">
        <v>34</v>
      </c>
      <c r="L65" s="517">
        <v>0</v>
      </c>
      <c r="M65" s="517">
        <v>0</v>
      </c>
      <c r="N65" s="525">
        <v>0</v>
      </c>
      <c r="O65" s="518">
        <v>0</v>
      </c>
      <c r="P65" s="540"/>
      <c r="Q65" s="542"/>
    </row>
    <row r="66" spans="1:17" s="230" customFormat="1" ht="12.75">
      <c r="A66" s="909"/>
      <c r="B66" s="911"/>
      <c r="C66" s="911"/>
      <c r="D66" s="925"/>
      <c r="E66" s="925"/>
      <c r="F66" s="957"/>
      <c r="G66" s="911"/>
      <c r="H66" s="911"/>
      <c r="I66" s="943"/>
      <c r="J66" s="943"/>
      <c r="K66" s="516" t="s">
        <v>38</v>
      </c>
      <c r="L66" s="517">
        <f>22100*85%+14</f>
        <v>18799</v>
      </c>
      <c r="M66" s="517">
        <v>0</v>
      </c>
      <c r="N66" s="525">
        <v>0</v>
      </c>
      <c r="O66" s="518">
        <v>0</v>
      </c>
      <c r="P66" s="540"/>
      <c r="Q66" s="540"/>
    </row>
    <row r="67" spans="1:16" s="230" customFormat="1" ht="13.5" thickBot="1">
      <c r="A67" s="910"/>
      <c r="B67" s="955"/>
      <c r="C67" s="955"/>
      <c r="D67" s="952"/>
      <c r="E67" s="952"/>
      <c r="F67" s="958"/>
      <c r="G67" s="955"/>
      <c r="H67" s="955"/>
      <c r="I67" s="944"/>
      <c r="J67" s="944"/>
      <c r="K67" s="224" t="s">
        <v>88</v>
      </c>
      <c r="L67" s="225">
        <f>3315+2</f>
        <v>3317</v>
      </c>
      <c r="M67" s="225">
        <v>0</v>
      </c>
      <c r="N67" s="522">
        <v>0</v>
      </c>
      <c r="O67" s="226">
        <v>0</v>
      </c>
      <c r="P67" s="540"/>
    </row>
    <row r="68" spans="1:16" s="230" customFormat="1" ht="12.75" customHeight="1">
      <c r="A68" s="908" t="s">
        <v>112</v>
      </c>
      <c r="B68" s="954">
        <v>853</v>
      </c>
      <c r="C68" s="954">
        <v>85395</v>
      </c>
      <c r="D68" s="951" t="s">
        <v>95</v>
      </c>
      <c r="E68" s="951" t="s">
        <v>107</v>
      </c>
      <c r="F68" s="956" t="s">
        <v>97</v>
      </c>
      <c r="G68" s="954">
        <v>2008</v>
      </c>
      <c r="H68" s="954">
        <v>2009</v>
      </c>
      <c r="I68" s="942">
        <v>47843</v>
      </c>
      <c r="J68" s="942">
        <v>47843</v>
      </c>
      <c r="K68" s="535" t="s">
        <v>87</v>
      </c>
      <c r="L68" s="536">
        <f>SUM(L69:L71)</f>
        <v>26080</v>
      </c>
      <c r="M68" s="536">
        <f>SUM(M69:M71)</f>
        <v>0</v>
      </c>
      <c r="N68" s="537">
        <v>0</v>
      </c>
      <c r="O68" s="538">
        <v>0</v>
      </c>
      <c r="P68" s="540"/>
    </row>
    <row r="69" spans="1:16" s="230" customFormat="1" ht="12.75">
      <c r="A69" s="909"/>
      <c r="B69" s="911"/>
      <c r="C69" s="911"/>
      <c r="D69" s="925"/>
      <c r="E69" s="925"/>
      <c r="F69" s="957"/>
      <c r="G69" s="911"/>
      <c r="H69" s="911"/>
      <c r="I69" s="943"/>
      <c r="J69" s="943"/>
      <c r="K69" s="516" t="s">
        <v>34</v>
      </c>
      <c r="L69" s="517">
        <v>0</v>
      </c>
      <c r="M69" s="517">
        <v>0</v>
      </c>
      <c r="N69" s="525">
        <v>0</v>
      </c>
      <c r="O69" s="518">
        <v>0</v>
      </c>
      <c r="P69" s="540"/>
    </row>
    <row r="70" spans="1:17" s="230" customFormat="1" ht="12.75">
      <c r="A70" s="909"/>
      <c r="B70" s="911"/>
      <c r="C70" s="911"/>
      <c r="D70" s="925"/>
      <c r="E70" s="925"/>
      <c r="F70" s="957"/>
      <c r="G70" s="911"/>
      <c r="H70" s="911"/>
      <c r="I70" s="943"/>
      <c r="J70" s="943"/>
      <c r="K70" s="516" t="s">
        <v>38</v>
      </c>
      <c r="L70" s="517">
        <f>26054*85%+22</f>
        <v>22168</v>
      </c>
      <c r="M70" s="517">
        <v>0</v>
      </c>
      <c r="N70" s="525">
        <v>0</v>
      </c>
      <c r="O70" s="518">
        <v>0</v>
      </c>
      <c r="P70" s="540"/>
      <c r="Q70" s="540"/>
    </row>
    <row r="71" spans="1:16" s="230" customFormat="1" ht="13.5" thickBot="1">
      <c r="A71" s="910"/>
      <c r="B71" s="955"/>
      <c r="C71" s="955"/>
      <c r="D71" s="952"/>
      <c r="E71" s="952"/>
      <c r="F71" s="958"/>
      <c r="G71" s="955"/>
      <c r="H71" s="955"/>
      <c r="I71" s="944"/>
      <c r="J71" s="944"/>
      <c r="K71" s="224" t="s">
        <v>88</v>
      </c>
      <c r="L71" s="225">
        <f>3908+4</f>
        <v>3912</v>
      </c>
      <c r="M71" s="225">
        <v>0</v>
      </c>
      <c r="N71" s="522">
        <v>0</v>
      </c>
      <c r="O71" s="226">
        <v>0</v>
      </c>
      <c r="P71" s="540"/>
    </row>
    <row r="72" spans="1:16" s="230" customFormat="1" ht="12.75" customHeight="1">
      <c r="A72" s="908" t="s">
        <v>114</v>
      </c>
      <c r="B72" s="954">
        <v>853</v>
      </c>
      <c r="C72" s="954">
        <v>85395</v>
      </c>
      <c r="D72" s="951" t="s">
        <v>95</v>
      </c>
      <c r="E72" s="951" t="s">
        <v>109</v>
      </c>
      <c r="F72" s="959" t="s">
        <v>97</v>
      </c>
      <c r="G72" s="954">
        <v>2008</v>
      </c>
      <c r="H72" s="954">
        <v>2009</v>
      </c>
      <c r="I72" s="942">
        <v>47889</v>
      </c>
      <c r="J72" s="942">
        <f>I72</f>
        <v>47889</v>
      </c>
      <c r="K72" s="535" t="s">
        <v>87</v>
      </c>
      <c r="L72" s="536">
        <f>SUM(L73:L75)</f>
        <v>21432</v>
      </c>
      <c r="M72" s="536">
        <f>SUM(M73:M75)</f>
        <v>0</v>
      </c>
      <c r="N72" s="537">
        <v>0</v>
      </c>
      <c r="O72" s="538">
        <v>0</v>
      </c>
      <c r="P72" s="540"/>
    </row>
    <row r="73" spans="1:16" s="230" customFormat="1" ht="12.75">
      <c r="A73" s="909"/>
      <c r="B73" s="911"/>
      <c r="C73" s="911"/>
      <c r="D73" s="925"/>
      <c r="E73" s="925"/>
      <c r="F73" s="957"/>
      <c r="G73" s="911"/>
      <c r="H73" s="911"/>
      <c r="I73" s="943"/>
      <c r="J73" s="943"/>
      <c r="K73" s="516" t="s">
        <v>34</v>
      </c>
      <c r="L73" s="517">
        <v>0</v>
      </c>
      <c r="M73" s="517">
        <v>0</v>
      </c>
      <c r="N73" s="525">
        <v>0</v>
      </c>
      <c r="O73" s="518">
        <v>0</v>
      </c>
      <c r="P73" s="540"/>
    </row>
    <row r="74" spans="1:17" s="230" customFormat="1" ht="12.75">
      <c r="A74" s="909"/>
      <c r="B74" s="911"/>
      <c r="C74" s="911"/>
      <c r="D74" s="925"/>
      <c r="E74" s="925"/>
      <c r="F74" s="957"/>
      <c r="G74" s="911"/>
      <c r="H74" s="911"/>
      <c r="I74" s="943"/>
      <c r="J74" s="943"/>
      <c r="K74" s="516" t="s">
        <v>38</v>
      </c>
      <c r="L74" s="517">
        <f>21420*85%+10</f>
        <v>18217</v>
      </c>
      <c r="M74" s="517">
        <v>0</v>
      </c>
      <c r="N74" s="525">
        <v>0</v>
      </c>
      <c r="O74" s="518">
        <v>0</v>
      </c>
      <c r="P74" s="540"/>
      <c r="Q74" s="540"/>
    </row>
    <row r="75" spans="1:17" s="230" customFormat="1" ht="13.5" thickBot="1">
      <c r="A75" s="910"/>
      <c r="B75" s="955"/>
      <c r="C75" s="955"/>
      <c r="D75" s="952"/>
      <c r="E75" s="952"/>
      <c r="F75" s="958"/>
      <c r="G75" s="955"/>
      <c r="H75" s="955"/>
      <c r="I75" s="944"/>
      <c r="J75" s="944"/>
      <c r="K75" s="224" t="s">
        <v>88</v>
      </c>
      <c r="L75" s="225">
        <f>3213+2</f>
        <v>3215</v>
      </c>
      <c r="M75" s="225">
        <v>0</v>
      </c>
      <c r="N75" s="522">
        <v>0</v>
      </c>
      <c r="O75" s="226">
        <v>0</v>
      </c>
      <c r="P75" s="540"/>
      <c r="Q75" s="540"/>
    </row>
    <row r="76" spans="1:16" s="230" customFormat="1" ht="12.75">
      <c r="A76" s="908" t="s">
        <v>116</v>
      </c>
      <c r="B76" s="954">
        <v>853</v>
      </c>
      <c r="C76" s="954">
        <v>85395</v>
      </c>
      <c r="D76" s="951" t="s">
        <v>95</v>
      </c>
      <c r="E76" s="951" t="s">
        <v>111</v>
      </c>
      <c r="F76" s="959" t="s">
        <v>97</v>
      </c>
      <c r="G76" s="954">
        <v>2008</v>
      </c>
      <c r="H76" s="954">
        <v>2009</v>
      </c>
      <c r="I76" s="942">
        <v>47889</v>
      </c>
      <c r="J76" s="942">
        <v>47889</v>
      </c>
      <c r="K76" s="535" t="s">
        <v>87</v>
      </c>
      <c r="L76" s="536">
        <f>SUM(L77:L79)</f>
        <v>21433</v>
      </c>
      <c r="M76" s="536">
        <f>SUM(M77:M79)</f>
        <v>0</v>
      </c>
      <c r="N76" s="537">
        <v>0</v>
      </c>
      <c r="O76" s="538">
        <v>0</v>
      </c>
      <c r="P76" s="540"/>
    </row>
    <row r="77" spans="1:17" s="230" customFormat="1" ht="12.75">
      <c r="A77" s="909"/>
      <c r="B77" s="911"/>
      <c r="C77" s="911"/>
      <c r="D77" s="925"/>
      <c r="E77" s="925"/>
      <c r="F77" s="960"/>
      <c r="G77" s="911"/>
      <c r="H77" s="911"/>
      <c r="I77" s="943"/>
      <c r="J77" s="943"/>
      <c r="K77" s="516" t="s">
        <v>34</v>
      </c>
      <c r="L77" s="517">
        <v>0</v>
      </c>
      <c r="M77" s="517">
        <v>0</v>
      </c>
      <c r="N77" s="525">
        <v>0</v>
      </c>
      <c r="O77" s="518">
        <v>0</v>
      </c>
      <c r="P77" s="540"/>
      <c r="Q77" s="542"/>
    </row>
    <row r="78" spans="1:17" s="230" customFormat="1" ht="12.75">
      <c r="A78" s="909"/>
      <c r="B78" s="911"/>
      <c r="C78" s="911"/>
      <c r="D78" s="925"/>
      <c r="E78" s="925"/>
      <c r="F78" s="960"/>
      <c r="G78" s="911"/>
      <c r="H78" s="911"/>
      <c r="I78" s="943"/>
      <c r="J78" s="943"/>
      <c r="K78" s="516" t="s">
        <v>38</v>
      </c>
      <c r="L78" s="517">
        <f>21420*85%+11</f>
        <v>18218</v>
      </c>
      <c r="M78" s="517">
        <v>0</v>
      </c>
      <c r="N78" s="525">
        <v>0</v>
      </c>
      <c r="O78" s="518">
        <v>0</v>
      </c>
      <c r="P78" s="540"/>
      <c r="Q78" s="540"/>
    </row>
    <row r="79" spans="1:16" s="230" customFormat="1" ht="13.5" thickBot="1">
      <c r="A79" s="910"/>
      <c r="B79" s="955"/>
      <c r="C79" s="955"/>
      <c r="D79" s="952"/>
      <c r="E79" s="952"/>
      <c r="F79" s="961"/>
      <c r="G79" s="955"/>
      <c r="H79" s="955"/>
      <c r="I79" s="944"/>
      <c r="J79" s="944"/>
      <c r="K79" s="224" t="s">
        <v>88</v>
      </c>
      <c r="L79" s="225">
        <f>3213+2</f>
        <v>3215</v>
      </c>
      <c r="M79" s="225">
        <v>0</v>
      </c>
      <c r="N79" s="522">
        <v>0</v>
      </c>
      <c r="O79" s="226">
        <v>0</v>
      </c>
      <c r="P79" s="540"/>
    </row>
    <row r="80" spans="1:16" s="230" customFormat="1" ht="12.75">
      <c r="A80" s="908" t="s">
        <v>118</v>
      </c>
      <c r="B80" s="954">
        <v>853</v>
      </c>
      <c r="C80" s="954">
        <v>85395</v>
      </c>
      <c r="D80" s="951" t="s">
        <v>95</v>
      </c>
      <c r="E80" s="951" t="s">
        <v>113</v>
      </c>
      <c r="F80" s="956" t="s">
        <v>97</v>
      </c>
      <c r="G80" s="954">
        <v>2008</v>
      </c>
      <c r="H80" s="954">
        <v>2009</v>
      </c>
      <c r="I80" s="942">
        <v>45630</v>
      </c>
      <c r="J80" s="942">
        <v>45630</v>
      </c>
      <c r="K80" s="535" t="s">
        <v>87</v>
      </c>
      <c r="L80" s="536">
        <f>SUM(L81:L83)</f>
        <v>25570</v>
      </c>
      <c r="M80" s="536">
        <f>SUM(M81:M83)</f>
        <v>0</v>
      </c>
      <c r="N80" s="537">
        <v>0</v>
      </c>
      <c r="O80" s="538">
        <v>0</v>
      </c>
      <c r="P80" s="540"/>
    </row>
    <row r="81" spans="1:16" s="230" customFormat="1" ht="12.75">
      <c r="A81" s="909"/>
      <c r="B81" s="911"/>
      <c r="C81" s="911"/>
      <c r="D81" s="925"/>
      <c r="E81" s="925"/>
      <c r="F81" s="957"/>
      <c r="G81" s="911"/>
      <c r="H81" s="911"/>
      <c r="I81" s="943"/>
      <c r="J81" s="943"/>
      <c r="K81" s="516" t="s">
        <v>34</v>
      </c>
      <c r="L81" s="517">
        <v>0</v>
      </c>
      <c r="M81" s="517">
        <v>0</v>
      </c>
      <c r="N81" s="525">
        <v>0</v>
      </c>
      <c r="O81" s="518">
        <v>0</v>
      </c>
      <c r="P81" s="540"/>
    </row>
    <row r="82" spans="1:17" s="230" customFormat="1" ht="12.75">
      <c r="A82" s="909"/>
      <c r="B82" s="911"/>
      <c r="C82" s="911"/>
      <c r="D82" s="925"/>
      <c r="E82" s="925"/>
      <c r="F82" s="957"/>
      <c r="G82" s="911"/>
      <c r="H82" s="911"/>
      <c r="I82" s="943"/>
      <c r="J82" s="943"/>
      <c r="K82" s="516" t="s">
        <v>38</v>
      </c>
      <c r="L82" s="517">
        <f>25488*85%+70</f>
        <v>21735</v>
      </c>
      <c r="M82" s="517">
        <v>0</v>
      </c>
      <c r="N82" s="525">
        <v>0</v>
      </c>
      <c r="O82" s="518">
        <v>0</v>
      </c>
      <c r="P82" s="540"/>
      <c r="Q82" s="540"/>
    </row>
    <row r="83" spans="1:16" s="230" customFormat="1" ht="13.5" thickBot="1">
      <c r="A83" s="910"/>
      <c r="B83" s="955"/>
      <c r="C83" s="955"/>
      <c r="D83" s="952"/>
      <c r="E83" s="952"/>
      <c r="F83" s="958"/>
      <c r="G83" s="955"/>
      <c r="H83" s="955"/>
      <c r="I83" s="944"/>
      <c r="J83" s="944"/>
      <c r="K83" s="224" t="s">
        <v>88</v>
      </c>
      <c r="L83" s="225">
        <f>3823+12</f>
        <v>3835</v>
      </c>
      <c r="M83" s="225">
        <v>0</v>
      </c>
      <c r="N83" s="522">
        <v>0</v>
      </c>
      <c r="O83" s="226">
        <v>0</v>
      </c>
      <c r="P83" s="540"/>
    </row>
    <row r="84" spans="1:16" s="230" customFormat="1" ht="12.75" customHeight="1">
      <c r="A84" s="908" t="s">
        <v>120</v>
      </c>
      <c r="B84" s="954">
        <v>853</v>
      </c>
      <c r="C84" s="954">
        <v>85395</v>
      </c>
      <c r="D84" s="951" t="s">
        <v>95</v>
      </c>
      <c r="E84" s="951" t="s">
        <v>115</v>
      </c>
      <c r="F84" s="956" t="s">
        <v>97</v>
      </c>
      <c r="G84" s="954">
        <v>2008</v>
      </c>
      <c r="H84" s="954">
        <v>2009</v>
      </c>
      <c r="I84" s="942">
        <v>48689</v>
      </c>
      <c r="J84" s="942">
        <v>48689</v>
      </c>
      <c r="K84" s="535" t="s">
        <v>87</v>
      </c>
      <c r="L84" s="536">
        <f>SUM(L85:L87)</f>
        <v>21532</v>
      </c>
      <c r="M84" s="536">
        <f>SUM(M85:M87)</f>
        <v>0</v>
      </c>
      <c r="N84" s="537">
        <v>0</v>
      </c>
      <c r="O84" s="538">
        <v>0</v>
      </c>
      <c r="P84" s="540"/>
    </row>
    <row r="85" spans="1:17" s="230" customFormat="1" ht="12.75">
      <c r="A85" s="909"/>
      <c r="B85" s="911"/>
      <c r="C85" s="911"/>
      <c r="D85" s="925"/>
      <c r="E85" s="925"/>
      <c r="F85" s="957"/>
      <c r="G85" s="911"/>
      <c r="H85" s="911"/>
      <c r="I85" s="943"/>
      <c r="J85" s="943"/>
      <c r="K85" s="516" t="s">
        <v>34</v>
      </c>
      <c r="L85" s="517">
        <v>0</v>
      </c>
      <c r="M85" s="517">
        <v>0</v>
      </c>
      <c r="N85" s="525">
        <v>0</v>
      </c>
      <c r="O85" s="518">
        <v>0</v>
      </c>
      <c r="P85" s="540"/>
      <c r="Q85" s="542"/>
    </row>
    <row r="86" spans="1:17" s="230" customFormat="1" ht="12.75">
      <c r="A86" s="909"/>
      <c r="B86" s="911"/>
      <c r="C86" s="911"/>
      <c r="D86" s="925"/>
      <c r="E86" s="925"/>
      <c r="F86" s="957"/>
      <c r="G86" s="911"/>
      <c r="H86" s="911"/>
      <c r="I86" s="943"/>
      <c r="J86" s="943"/>
      <c r="K86" s="516" t="s">
        <v>38</v>
      </c>
      <c r="L86" s="517">
        <f>21520*85%+10</f>
        <v>18302</v>
      </c>
      <c r="M86" s="517">
        <v>0</v>
      </c>
      <c r="N86" s="525">
        <v>0</v>
      </c>
      <c r="O86" s="518">
        <v>0</v>
      </c>
      <c r="P86" s="540"/>
      <c r="Q86" s="540"/>
    </row>
    <row r="87" spans="1:16" s="230" customFormat="1" ht="13.5" thickBot="1">
      <c r="A87" s="910"/>
      <c r="B87" s="955"/>
      <c r="C87" s="955"/>
      <c r="D87" s="952"/>
      <c r="E87" s="952"/>
      <c r="F87" s="958"/>
      <c r="G87" s="955"/>
      <c r="H87" s="955"/>
      <c r="I87" s="944"/>
      <c r="J87" s="944"/>
      <c r="K87" s="224" t="s">
        <v>88</v>
      </c>
      <c r="L87" s="225">
        <f>3228+2</f>
        <v>3230</v>
      </c>
      <c r="M87" s="225">
        <v>0</v>
      </c>
      <c r="N87" s="522">
        <v>0</v>
      </c>
      <c r="O87" s="226">
        <v>0</v>
      </c>
      <c r="P87" s="540"/>
    </row>
    <row r="88" spans="1:16" s="230" customFormat="1" ht="12.75" customHeight="1">
      <c r="A88" s="908" t="s">
        <v>122</v>
      </c>
      <c r="B88" s="954">
        <v>853</v>
      </c>
      <c r="C88" s="954">
        <v>85395</v>
      </c>
      <c r="D88" s="951" t="s">
        <v>95</v>
      </c>
      <c r="E88" s="951" t="s">
        <v>117</v>
      </c>
      <c r="F88" s="956" t="s">
        <v>97</v>
      </c>
      <c r="G88" s="954">
        <v>2008</v>
      </c>
      <c r="H88" s="954">
        <v>2009</v>
      </c>
      <c r="I88" s="942">
        <v>47889</v>
      </c>
      <c r="J88" s="942">
        <v>47889</v>
      </c>
      <c r="K88" s="535" t="s">
        <v>87</v>
      </c>
      <c r="L88" s="536">
        <f>SUM(L89:L91)</f>
        <v>21432</v>
      </c>
      <c r="M88" s="536">
        <f>SUM(M89:M91)</f>
        <v>0</v>
      </c>
      <c r="N88" s="537">
        <f>SUM(N89:N91)</f>
        <v>0</v>
      </c>
      <c r="O88" s="538">
        <f>SUM(O89:O91)</f>
        <v>0</v>
      </c>
      <c r="P88" s="540"/>
    </row>
    <row r="89" spans="1:16" s="230" customFormat="1" ht="12.75" customHeight="1">
      <c r="A89" s="909"/>
      <c r="B89" s="911"/>
      <c r="C89" s="911"/>
      <c r="D89" s="925"/>
      <c r="E89" s="925"/>
      <c r="F89" s="957"/>
      <c r="G89" s="911"/>
      <c r="H89" s="911"/>
      <c r="I89" s="943"/>
      <c r="J89" s="943"/>
      <c r="K89" s="516" t="s">
        <v>34</v>
      </c>
      <c r="L89" s="517">
        <v>0</v>
      </c>
      <c r="M89" s="517">
        <v>0</v>
      </c>
      <c r="N89" s="525">
        <v>0</v>
      </c>
      <c r="O89" s="518">
        <v>0</v>
      </c>
      <c r="P89" s="540"/>
    </row>
    <row r="90" spans="1:16" s="230" customFormat="1" ht="12.75" customHeight="1">
      <c r="A90" s="909"/>
      <c r="B90" s="911"/>
      <c r="C90" s="911"/>
      <c r="D90" s="925"/>
      <c r="E90" s="925"/>
      <c r="F90" s="957"/>
      <c r="G90" s="911"/>
      <c r="H90" s="911"/>
      <c r="I90" s="943"/>
      <c r="J90" s="943"/>
      <c r="K90" s="516" t="s">
        <v>38</v>
      </c>
      <c r="L90" s="517">
        <f>21420*85%+10</f>
        <v>18217</v>
      </c>
      <c r="M90" s="517">
        <v>0</v>
      </c>
      <c r="N90" s="525">
        <v>0</v>
      </c>
      <c r="O90" s="518">
        <v>0</v>
      </c>
      <c r="P90" s="540"/>
    </row>
    <row r="91" spans="1:16" s="230" customFormat="1" ht="13.5" customHeight="1" thickBot="1">
      <c r="A91" s="910"/>
      <c r="B91" s="955"/>
      <c r="C91" s="955"/>
      <c r="D91" s="952"/>
      <c r="E91" s="952"/>
      <c r="F91" s="958"/>
      <c r="G91" s="955"/>
      <c r="H91" s="955"/>
      <c r="I91" s="944"/>
      <c r="J91" s="944"/>
      <c r="K91" s="224" t="s">
        <v>88</v>
      </c>
      <c r="L91" s="225">
        <f>3213+2</f>
        <v>3215</v>
      </c>
      <c r="M91" s="225">
        <v>0</v>
      </c>
      <c r="N91" s="522">
        <v>0</v>
      </c>
      <c r="O91" s="226">
        <v>0</v>
      </c>
      <c r="P91" s="540"/>
    </row>
    <row r="92" spans="1:15" ht="12.75">
      <c r="A92" s="908" t="s">
        <v>124</v>
      </c>
      <c r="B92" s="923">
        <v>853</v>
      </c>
      <c r="C92" s="923">
        <v>85395</v>
      </c>
      <c r="D92" s="917" t="s">
        <v>95</v>
      </c>
      <c r="E92" s="917" t="s">
        <v>119</v>
      </c>
      <c r="F92" s="949" t="s">
        <v>97</v>
      </c>
      <c r="G92" s="923">
        <v>2008</v>
      </c>
      <c r="H92" s="923">
        <v>2009</v>
      </c>
      <c r="I92" s="936">
        <v>45169</v>
      </c>
      <c r="J92" s="936">
        <v>45169</v>
      </c>
      <c r="K92" s="218" t="s">
        <v>87</v>
      </c>
      <c r="L92" s="231">
        <f>SUM(L93:L95)</f>
        <v>33657</v>
      </c>
      <c r="M92" s="219">
        <f>SUM(M93:M95)</f>
        <v>0</v>
      </c>
      <c r="N92" s="521">
        <f>SUM(N93:N95)</f>
        <v>0</v>
      </c>
      <c r="O92" s="220">
        <f>SUM(O93:O95)</f>
        <v>0</v>
      </c>
    </row>
    <row r="93" spans="1:15" ht="12.75">
      <c r="A93" s="909"/>
      <c r="B93" s="914"/>
      <c r="C93" s="914"/>
      <c r="D93" s="918"/>
      <c r="E93" s="918"/>
      <c r="F93" s="938"/>
      <c r="G93" s="914"/>
      <c r="H93" s="914"/>
      <c r="I93" s="932"/>
      <c r="J93" s="932"/>
      <c r="K93" s="221" t="s">
        <v>34</v>
      </c>
      <c r="L93" s="232">
        <v>0</v>
      </c>
      <c r="M93" s="222">
        <v>0</v>
      </c>
      <c r="N93" s="227">
        <v>0</v>
      </c>
      <c r="O93" s="223">
        <v>0</v>
      </c>
    </row>
    <row r="94" spans="1:15" ht="12.75">
      <c r="A94" s="909"/>
      <c r="B94" s="914"/>
      <c r="C94" s="914"/>
      <c r="D94" s="918"/>
      <c r="E94" s="918"/>
      <c r="F94" s="938"/>
      <c r="G94" s="914"/>
      <c r="H94" s="914"/>
      <c r="I94" s="932"/>
      <c r="J94" s="932"/>
      <c r="K94" s="221" t="s">
        <v>38</v>
      </c>
      <c r="L94" s="222">
        <v>28608</v>
      </c>
      <c r="M94" s="222">
        <v>0</v>
      </c>
      <c r="N94" s="227">
        <v>0</v>
      </c>
      <c r="O94" s="223">
        <v>0</v>
      </c>
    </row>
    <row r="95" spans="1:17" ht="13.5" thickBot="1">
      <c r="A95" s="910"/>
      <c r="B95" s="924"/>
      <c r="C95" s="924"/>
      <c r="D95" s="919"/>
      <c r="E95" s="919"/>
      <c r="F95" s="950"/>
      <c r="G95" s="924"/>
      <c r="H95" s="924"/>
      <c r="I95" s="937"/>
      <c r="J95" s="937"/>
      <c r="K95" s="224" t="s">
        <v>88</v>
      </c>
      <c r="L95" s="225">
        <v>5049</v>
      </c>
      <c r="M95" s="225">
        <v>0</v>
      </c>
      <c r="N95" s="522">
        <v>0</v>
      </c>
      <c r="O95" s="226">
        <v>0</v>
      </c>
      <c r="Q95" s="238"/>
    </row>
    <row r="96" spans="1:16" ht="12.75" customHeight="1">
      <c r="A96" s="908" t="s">
        <v>125</v>
      </c>
      <c r="B96" s="914">
        <v>853</v>
      </c>
      <c r="C96" s="914">
        <v>85395</v>
      </c>
      <c r="D96" s="917" t="s">
        <v>95</v>
      </c>
      <c r="E96" s="918" t="s">
        <v>168</v>
      </c>
      <c r="F96" s="965" t="s">
        <v>169</v>
      </c>
      <c r="G96" s="914">
        <v>2009</v>
      </c>
      <c r="H96" s="914">
        <v>2009</v>
      </c>
      <c r="I96" s="932">
        <v>357219</v>
      </c>
      <c r="J96" s="935">
        <v>357219</v>
      </c>
      <c r="K96" s="239" t="s">
        <v>87</v>
      </c>
      <c r="L96" s="240">
        <f>SUM(L97:L99)</f>
        <v>357219</v>
      </c>
      <c r="M96" s="241">
        <f>SUM(M97:M99)</f>
        <v>0</v>
      </c>
      <c r="N96" s="524">
        <f>SUM(N97:N99)</f>
        <v>0</v>
      </c>
      <c r="O96" s="242">
        <f>SUM(O97:O99)</f>
        <v>0</v>
      </c>
      <c r="P96" s="243"/>
    </row>
    <row r="97" spans="1:18" ht="12.75">
      <c r="A97" s="909"/>
      <c r="B97" s="915"/>
      <c r="C97" s="915"/>
      <c r="D97" s="918"/>
      <c r="E97" s="915"/>
      <c r="F97" s="915"/>
      <c r="G97" s="915"/>
      <c r="H97" s="915"/>
      <c r="I97" s="933"/>
      <c r="J97" s="933"/>
      <c r="K97" s="221" t="s">
        <v>34</v>
      </c>
      <c r="L97" s="232">
        <v>35722</v>
      </c>
      <c r="M97" s="222">
        <v>0</v>
      </c>
      <c r="N97" s="227">
        <v>0</v>
      </c>
      <c r="O97" s="223">
        <v>0</v>
      </c>
      <c r="P97" s="244"/>
      <c r="Q97" s="245"/>
      <c r="R97" s="238"/>
    </row>
    <row r="98" spans="1:18" ht="12.75">
      <c r="A98" s="909"/>
      <c r="B98" s="915"/>
      <c r="C98" s="915"/>
      <c r="D98" s="918"/>
      <c r="E98" s="915"/>
      <c r="F98" s="915"/>
      <c r="G98" s="915"/>
      <c r="H98" s="915"/>
      <c r="I98" s="933"/>
      <c r="J98" s="933"/>
      <c r="K98" s="221" t="s">
        <v>38</v>
      </c>
      <c r="L98" s="232">
        <v>303636</v>
      </c>
      <c r="M98" s="222">
        <v>0</v>
      </c>
      <c r="N98" s="227">
        <v>0</v>
      </c>
      <c r="O98" s="223">
        <v>0</v>
      </c>
      <c r="P98" s="244"/>
      <c r="Q98" s="238"/>
      <c r="R98" s="238"/>
    </row>
    <row r="99" spans="1:15" ht="13.5" thickBot="1">
      <c r="A99" s="910"/>
      <c r="B99" s="916"/>
      <c r="C99" s="916"/>
      <c r="D99" s="919"/>
      <c r="E99" s="916"/>
      <c r="F99" s="916"/>
      <c r="G99" s="916"/>
      <c r="H99" s="916"/>
      <c r="I99" s="934"/>
      <c r="J99" s="934"/>
      <c r="K99" s="224" t="s">
        <v>88</v>
      </c>
      <c r="L99" s="246">
        <v>17861</v>
      </c>
      <c r="M99" s="225">
        <v>0</v>
      </c>
      <c r="N99" s="522">
        <v>0</v>
      </c>
      <c r="O99" s="226">
        <v>0</v>
      </c>
    </row>
    <row r="100" spans="1:17" s="487" customFormat="1" ht="12.75">
      <c r="A100" s="908" t="s">
        <v>129</v>
      </c>
      <c r="B100" s="911">
        <v>900</v>
      </c>
      <c r="C100" s="911">
        <v>90002</v>
      </c>
      <c r="D100" s="925" t="s">
        <v>123</v>
      </c>
      <c r="E100" s="925" t="s">
        <v>53</v>
      </c>
      <c r="F100" s="957" t="s">
        <v>54</v>
      </c>
      <c r="G100" s="911">
        <v>2008</v>
      </c>
      <c r="H100" s="911">
        <v>2012</v>
      </c>
      <c r="I100" s="943">
        <v>14260000</v>
      </c>
      <c r="J100" s="962">
        <v>14260000</v>
      </c>
      <c r="K100" s="646" t="s">
        <v>87</v>
      </c>
      <c r="L100" s="647">
        <f>SUM(L101:L103)</f>
        <v>213500</v>
      </c>
      <c r="M100" s="648">
        <f>SUM(M101:M103)</f>
        <v>0</v>
      </c>
      <c r="N100" s="649">
        <f>SUM(N101:N103)</f>
        <v>7623000</v>
      </c>
      <c r="O100" s="650">
        <f>SUM(O101:O103)</f>
        <v>5642753</v>
      </c>
      <c r="P100" s="651"/>
      <c r="Q100" s="655"/>
    </row>
    <row r="101" spans="1:18" s="487" customFormat="1" ht="12.75">
      <c r="A101" s="909"/>
      <c r="B101" s="912"/>
      <c r="C101" s="912"/>
      <c r="D101" s="912"/>
      <c r="E101" s="912"/>
      <c r="F101" s="912"/>
      <c r="G101" s="912"/>
      <c r="H101" s="912"/>
      <c r="I101" s="963"/>
      <c r="J101" s="963"/>
      <c r="K101" s="516" t="s">
        <v>34</v>
      </c>
      <c r="L101" s="652">
        <v>45000</v>
      </c>
      <c r="M101" s="652">
        <v>0</v>
      </c>
      <c r="N101" s="656">
        <v>1600800</v>
      </c>
      <c r="O101" s="657">
        <v>1184853</v>
      </c>
      <c r="P101" s="653"/>
      <c r="Q101" s="654"/>
      <c r="R101" s="655"/>
    </row>
    <row r="102" spans="1:18" s="487" customFormat="1" ht="12.75">
      <c r="A102" s="909"/>
      <c r="B102" s="912"/>
      <c r="C102" s="912"/>
      <c r="D102" s="912"/>
      <c r="E102" s="912"/>
      <c r="F102" s="912"/>
      <c r="G102" s="912"/>
      <c r="H102" s="912"/>
      <c r="I102" s="963"/>
      <c r="J102" s="963"/>
      <c r="K102" s="516" t="s">
        <v>38</v>
      </c>
      <c r="L102" s="652">
        <v>168500</v>
      </c>
      <c r="M102" s="652">
        <v>0</v>
      </c>
      <c r="N102" s="656">
        <v>6022200</v>
      </c>
      <c r="O102" s="657">
        <v>4457900</v>
      </c>
      <c r="P102" s="653"/>
      <c r="Q102" s="655"/>
      <c r="R102" s="655"/>
    </row>
    <row r="103" spans="1:15" s="487" customFormat="1" ht="13.5" thickBot="1">
      <c r="A103" s="910"/>
      <c r="B103" s="913"/>
      <c r="C103" s="913"/>
      <c r="D103" s="913"/>
      <c r="E103" s="913"/>
      <c r="F103" s="913"/>
      <c r="G103" s="913"/>
      <c r="H103" s="913"/>
      <c r="I103" s="964"/>
      <c r="J103" s="964"/>
      <c r="K103" s="224" t="s">
        <v>88</v>
      </c>
      <c r="L103" s="246">
        <v>0</v>
      </c>
      <c r="M103" s="246">
        <v>0</v>
      </c>
      <c r="N103" s="658">
        <v>0</v>
      </c>
      <c r="O103" s="659">
        <v>0</v>
      </c>
    </row>
    <row r="104" spans="1:17" ht="12.75">
      <c r="A104" s="908" t="s">
        <v>131</v>
      </c>
      <c r="B104" s="914">
        <v>900</v>
      </c>
      <c r="C104" s="914">
        <v>90095</v>
      </c>
      <c r="D104" s="918" t="s">
        <v>126</v>
      </c>
      <c r="E104" s="918" t="s">
        <v>127</v>
      </c>
      <c r="F104" s="938" t="s">
        <v>128</v>
      </c>
      <c r="G104" s="914">
        <v>2008</v>
      </c>
      <c r="H104" s="914">
        <v>2011</v>
      </c>
      <c r="I104" s="932">
        <v>6062340</v>
      </c>
      <c r="J104" s="935">
        <v>5202753</v>
      </c>
      <c r="K104" s="239" t="s">
        <v>87</v>
      </c>
      <c r="L104" s="240">
        <f>SUM(L105:L107)</f>
        <v>154885</v>
      </c>
      <c r="M104" s="241">
        <f>SUM(M105:M107)</f>
        <v>1796305</v>
      </c>
      <c r="N104" s="524">
        <f>SUM(N105:N107)</f>
        <v>4111150</v>
      </c>
      <c r="O104" s="242">
        <f>SUM(O105:O107)</f>
        <v>0</v>
      </c>
      <c r="P104" s="243"/>
      <c r="Q104" s="238"/>
    </row>
    <row r="105" spans="1:18" ht="12.75">
      <c r="A105" s="909"/>
      <c r="B105" s="915"/>
      <c r="C105" s="915"/>
      <c r="D105" s="926"/>
      <c r="E105" s="915"/>
      <c r="F105" s="915"/>
      <c r="G105" s="915"/>
      <c r="H105" s="915"/>
      <c r="I105" s="933"/>
      <c r="J105" s="933"/>
      <c r="K105" s="221" t="s">
        <v>34</v>
      </c>
      <c r="L105" s="232">
        <v>80000</v>
      </c>
      <c r="M105" s="232">
        <v>0</v>
      </c>
      <c r="N105" s="227">
        <v>0</v>
      </c>
      <c r="O105" s="223">
        <v>0</v>
      </c>
      <c r="P105" s="741">
        <v>780413</v>
      </c>
      <c r="Q105" s="245"/>
      <c r="R105" s="238"/>
    </row>
    <row r="106" spans="1:18" ht="12.75">
      <c r="A106" s="909"/>
      <c r="B106" s="915"/>
      <c r="C106" s="915"/>
      <c r="D106" s="926"/>
      <c r="E106" s="915"/>
      <c r="F106" s="915"/>
      <c r="G106" s="915"/>
      <c r="H106" s="915"/>
      <c r="I106" s="933"/>
      <c r="J106" s="933"/>
      <c r="K106" s="221" t="s">
        <v>38</v>
      </c>
      <c r="L106" s="232">
        <v>12652</v>
      </c>
      <c r="M106" s="232">
        <v>1526859</v>
      </c>
      <c r="N106" s="227">
        <v>2882829</v>
      </c>
      <c r="O106" s="223">
        <v>0</v>
      </c>
      <c r="P106" s="742">
        <f>SUM(L106:N106,P105)</f>
        <v>5202753</v>
      </c>
      <c r="Q106" s="238"/>
      <c r="R106" s="238"/>
    </row>
    <row r="107" spans="1:15" ht="13.5" thickBot="1">
      <c r="A107" s="910"/>
      <c r="B107" s="916"/>
      <c r="C107" s="916"/>
      <c r="D107" s="927"/>
      <c r="E107" s="916"/>
      <c r="F107" s="916"/>
      <c r="G107" s="916"/>
      <c r="H107" s="916"/>
      <c r="I107" s="934"/>
      <c r="J107" s="934"/>
      <c r="K107" s="224" t="s">
        <v>88</v>
      </c>
      <c r="L107" s="246">
        <v>62233</v>
      </c>
      <c r="M107" s="225">
        <v>269446</v>
      </c>
      <c r="N107" s="522">
        <v>1228321</v>
      </c>
      <c r="O107" s="226">
        <v>0</v>
      </c>
    </row>
    <row r="108" spans="1:17" s="228" customFormat="1" ht="12.75">
      <c r="A108" s="908" t="s">
        <v>148</v>
      </c>
      <c r="B108" s="923">
        <v>921</v>
      </c>
      <c r="C108" s="923">
        <v>92109</v>
      </c>
      <c r="D108" s="917" t="s">
        <v>130</v>
      </c>
      <c r="E108" s="917" t="s">
        <v>65</v>
      </c>
      <c r="F108" s="949" t="s">
        <v>121</v>
      </c>
      <c r="G108" s="923">
        <v>2008</v>
      </c>
      <c r="H108" s="923">
        <v>2010</v>
      </c>
      <c r="I108" s="936">
        <v>727979</v>
      </c>
      <c r="J108" s="936">
        <v>573950</v>
      </c>
      <c r="K108" s="218" t="s">
        <v>87</v>
      </c>
      <c r="L108" s="219">
        <f>SUM(L109:L111)</f>
        <v>2500</v>
      </c>
      <c r="M108" s="219">
        <f>SUM(M109:M111)</f>
        <v>700000</v>
      </c>
      <c r="N108" s="521">
        <f>SUM(N109:N111)</f>
        <v>0</v>
      </c>
      <c r="O108" s="220">
        <f>SUM(O109:O111)</f>
        <v>0</v>
      </c>
      <c r="Q108" s="229"/>
    </row>
    <row r="109" spans="1:17" s="228" customFormat="1" ht="12.75">
      <c r="A109" s="909"/>
      <c r="B109" s="914"/>
      <c r="C109" s="914"/>
      <c r="D109" s="918"/>
      <c r="E109" s="918"/>
      <c r="F109" s="938"/>
      <c r="G109" s="914"/>
      <c r="H109" s="914"/>
      <c r="I109" s="932"/>
      <c r="J109" s="932"/>
      <c r="K109" s="221" t="s">
        <v>34</v>
      </c>
      <c r="L109" s="222">
        <v>2000</v>
      </c>
      <c r="M109" s="222">
        <v>413025</v>
      </c>
      <c r="N109" s="227">
        <v>0</v>
      </c>
      <c r="O109" s="223">
        <v>0</v>
      </c>
      <c r="P109" s="660"/>
      <c r="Q109" s="245"/>
    </row>
    <row r="110" spans="1:17" s="228" customFormat="1" ht="12.75">
      <c r="A110" s="909"/>
      <c r="B110" s="914"/>
      <c r="C110" s="914"/>
      <c r="D110" s="918"/>
      <c r="E110" s="918"/>
      <c r="F110" s="938"/>
      <c r="G110" s="914"/>
      <c r="H110" s="914"/>
      <c r="I110" s="932"/>
      <c r="J110" s="932"/>
      <c r="K110" s="221" t="s">
        <v>38</v>
      </c>
      <c r="L110" s="222">
        <v>500</v>
      </c>
      <c r="M110" s="222">
        <v>286975</v>
      </c>
      <c r="N110" s="227">
        <v>0</v>
      </c>
      <c r="O110" s="223">
        <v>0</v>
      </c>
      <c r="P110" s="660"/>
      <c r="Q110" s="229"/>
    </row>
    <row r="111" spans="1:15" s="228" customFormat="1" ht="13.5" thickBot="1">
      <c r="A111" s="910"/>
      <c r="B111" s="924"/>
      <c r="C111" s="924"/>
      <c r="D111" s="919"/>
      <c r="E111" s="919"/>
      <c r="F111" s="950"/>
      <c r="G111" s="924"/>
      <c r="H111" s="924"/>
      <c r="I111" s="937"/>
      <c r="J111" s="937"/>
      <c r="K111" s="224" t="s">
        <v>88</v>
      </c>
      <c r="L111" s="225">
        <v>0</v>
      </c>
      <c r="M111" s="225">
        <v>0</v>
      </c>
      <c r="N111" s="522">
        <v>0</v>
      </c>
      <c r="O111" s="226">
        <v>0</v>
      </c>
    </row>
    <row r="112" spans="1:17" ht="12.75">
      <c r="A112" s="967" t="s">
        <v>5</v>
      </c>
      <c r="B112" s="968"/>
      <c r="C112" s="968"/>
      <c r="D112" s="968"/>
      <c r="E112" s="968"/>
      <c r="F112" s="968"/>
      <c r="G112" s="968"/>
      <c r="H112" s="968"/>
      <c r="I112" s="973">
        <f>SUM(I7:I54,I56:I111)</f>
        <v>23933830</v>
      </c>
      <c r="J112" s="973">
        <f>SUM(J7:J54,J56:J111)</f>
        <v>22920214</v>
      </c>
      <c r="K112" s="247" t="s">
        <v>87</v>
      </c>
      <c r="L112" s="248">
        <f>SUM(L113:L115)</f>
        <v>1374827</v>
      </c>
      <c r="M112" s="249">
        <f>SUM(M113:M115)</f>
        <v>3878256</v>
      </c>
      <c r="N112" s="248">
        <f>SUM(N113:N115)</f>
        <v>11734150</v>
      </c>
      <c r="O112" s="526">
        <f>SUM(O113:O115)</f>
        <v>5642753</v>
      </c>
      <c r="P112" s="238"/>
      <c r="Q112" s="238"/>
    </row>
    <row r="113" spans="1:16" ht="12.75">
      <c r="A113" s="969"/>
      <c r="B113" s="970"/>
      <c r="C113" s="970"/>
      <c r="D113" s="970"/>
      <c r="E113" s="970"/>
      <c r="F113" s="970"/>
      <c r="G113" s="970"/>
      <c r="H113" s="970"/>
      <c r="I113" s="974"/>
      <c r="J113" s="974"/>
      <c r="K113" s="250" t="s">
        <v>34</v>
      </c>
      <c r="L113" s="251">
        <f>SUM(L8+L12+L16+L20+L32+L36+L24+L28+L40+L44+L48+L52+L57+L61+L65+L69+L73+L77+L81+L85+L89+L93+L97+L101+L105+L109)</f>
        <v>175774</v>
      </c>
      <c r="M113" s="251">
        <f aca="true" t="shared" si="0" ref="M113:O115">SUM(M8+M12+M16+M20+M32+M36+M24+M28+M40+M44+M48+M52+M57+M61+M65+M69+M73+M77+M81+M85+M89+M93+M97+M101+M105+M109)</f>
        <v>620318</v>
      </c>
      <c r="N113" s="251">
        <f t="shared" si="0"/>
        <v>1600800</v>
      </c>
      <c r="O113" s="252">
        <f t="shared" si="0"/>
        <v>1184853</v>
      </c>
      <c r="P113" s="238"/>
    </row>
    <row r="114" spans="1:16" ht="12.75">
      <c r="A114" s="969"/>
      <c r="B114" s="970"/>
      <c r="C114" s="970"/>
      <c r="D114" s="970"/>
      <c r="E114" s="970"/>
      <c r="F114" s="970"/>
      <c r="G114" s="970"/>
      <c r="H114" s="970"/>
      <c r="I114" s="974"/>
      <c r="J114" s="974"/>
      <c r="K114" s="250" t="s">
        <v>38</v>
      </c>
      <c r="L114" s="251">
        <f>SUM(L9+L13+L17+L21+L33+L37+L25+L29+L41+L45+L49+L53+L58+L62+L66+L70+L74+L78+L82+L86+L90+L94+L98+L102+L106+L110)</f>
        <v>1025107</v>
      </c>
      <c r="M114" s="251">
        <f t="shared" si="0"/>
        <v>2988492</v>
      </c>
      <c r="N114" s="251">
        <f t="shared" si="0"/>
        <v>8905029</v>
      </c>
      <c r="O114" s="252">
        <f t="shared" si="0"/>
        <v>4457900</v>
      </c>
      <c r="P114" s="238"/>
    </row>
    <row r="115" spans="1:16" ht="13.5" thickBot="1">
      <c r="A115" s="971"/>
      <c r="B115" s="972"/>
      <c r="C115" s="972"/>
      <c r="D115" s="972"/>
      <c r="E115" s="972"/>
      <c r="F115" s="972"/>
      <c r="G115" s="972"/>
      <c r="H115" s="972"/>
      <c r="I115" s="975"/>
      <c r="J115" s="975"/>
      <c r="K115" s="253" t="s">
        <v>88</v>
      </c>
      <c r="L115" s="254">
        <f>SUM(L10+L14+L18+L22+L34+L38+L26+L30+L42+L46+L50+L54+L59+L63+L67+L71+L75+L79+L83+L87+L91+L95+L99+L103+L107+L111)</f>
        <v>173946</v>
      </c>
      <c r="M115" s="254">
        <f t="shared" si="0"/>
        <v>269446</v>
      </c>
      <c r="N115" s="254">
        <f t="shared" si="0"/>
        <v>1228321</v>
      </c>
      <c r="O115" s="255">
        <f t="shared" si="0"/>
        <v>0</v>
      </c>
      <c r="P115" s="238"/>
    </row>
    <row r="116" spans="1:15" ht="12">
      <c r="A116" s="256"/>
      <c r="B116" s="257"/>
      <c r="C116" s="257"/>
      <c r="G116" s="258"/>
      <c r="H116" s="258"/>
      <c r="I116" s="258"/>
      <c r="J116" s="258"/>
      <c r="K116" s="258"/>
      <c r="L116" s="258"/>
      <c r="M116" s="258"/>
      <c r="N116" s="258"/>
      <c r="O116" s="258"/>
    </row>
    <row r="117" spans="1:15" ht="12">
      <c r="A117" s="256"/>
      <c r="B117" s="257"/>
      <c r="C117" s="257"/>
      <c r="G117" s="258"/>
      <c r="H117" s="258"/>
      <c r="I117" s="258"/>
      <c r="J117" s="258"/>
      <c r="K117" s="258"/>
      <c r="L117" s="259"/>
      <c r="M117" s="259"/>
      <c r="N117" s="259"/>
      <c r="O117" s="259"/>
    </row>
    <row r="118" spans="1:15" ht="12">
      <c r="A118" s="256"/>
      <c r="B118" s="257"/>
      <c r="C118" s="257"/>
      <c r="G118" s="258"/>
      <c r="H118" s="258"/>
      <c r="I118" s="354"/>
      <c r="J118" s="354"/>
      <c r="K118" s="258"/>
      <c r="L118" s="259"/>
      <c r="M118" s="259"/>
      <c r="N118" s="259"/>
      <c r="O118" s="259"/>
    </row>
    <row r="119" spans="1:15" ht="12">
      <c r="A119" s="256"/>
      <c r="B119" s="257"/>
      <c r="C119" s="257"/>
      <c r="G119" s="258"/>
      <c r="H119" s="258"/>
      <c r="I119" s="354"/>
      <c r="J119" s="258"/>
      <c r="K119" s="258"/>
      <c r="L119" s="259"/>
      <c r="M119" s="259"/>
      <c r="N119" s="259"/>
      <c r="O119" s="259"/>
    </row>
    <row r="120" spans="1:15" ht="12">
      <c r="A120" s="256"/>
      <c r="B120" s="257"/>
      <c r="C120" s="257"/>
      <c r="G120" s="258"/>
      <c r="H120" s="258"/>
      <c r="I120" s="258"/>
      <c r="J120" s="258"/>
      <c r="K120" s="258"/>
      <c r="L120" s="259"/>
      <c r="M120" s="259"/>
      <c r="N120" s="259"/>
      <c r="O120" s="259"/>
    </row>
    <row r="121" spans="1:15" ht="12">
      <c r="A121" s="256"/>
      <c r="B121" s="257"/>
      <c r="C121" s="257"/>
      <c r="G121" s="258"/>
      <c r="H121" s="258"/>
      <c r="I121" s="258"/>
      <c r="J121" s="258"/>
      <c r="K121" s="258"/>
      <c r="L121" s="259"/>
      <c r="M121" s="259"/>
      <c r="N121" s="259"/>
      <c r="O121" s="259"/>
    </row>
    <row r="122" spans="7:15" ht="12">
      <c r="G122" s="258"/>
      <c r="H122" s="258"/>
      <c r="I122" s="258"/>
      <c r="J122" s="258"/>
      <c r="K122" s="258"/>
      <c r="L122" s="258"/>
      <c r="M122" s="258"/>
      <c r="N122" s="258"/>
      <c r="O122" s="258"/>
    </row>
    <row r="123" spans="7:15" ht="12">
      <c r="G123" s="258"/>
      <c r="H123" s="258"/>
      <c r="I123" s="258"/>
      <c r="J123" s="258"/>
      <c r="K123" s="258"/>
      <c r="L123" s="258"/>
      <c r="M123" s="258"/>
      <c r="N123" s="258"/>
      <c r="O123" s="258"/>
    </row>
    <row r="124" spans="7:15" ht="12">
      <c r="G124" s="258"/>
      <c r="H124" s="258"/>
      <c r="I124" s="258"/>
      <c r="J124" s="258"/>
      <c r="K124" s="258"/>
      <c r="L124" s="258"/>
      <c r="M124" s="258"/>
      <c r="N124" s="258"/>
      <c r="O124" s="258"/>
    </row>
    <row r="125" spans="7:15" ht="12">
      <c r="G125" s="258"/>
      <c r="H125" s="258"/>
      <c r="I125" s="258"/>
      <c r="J125" s="258"/>
      <c r="K125" s="258"/>
      <c r="L125" s="258"/>
      <c r="M125" s="258"/>
      <c r="N125" s="258"/>
      <c r="O125" s="258"/>
    </row>
    <row r="126" spans="7:15" ht="12">
      <c r="G126" s="258"/>
      <c r="H126" s="258"/>
      <c r="I126" s="258"/>
      <c r="J126" s="258"/>
      <c r="K126" s="258"/>
      <c r="L126" s="258"/>
      <c r="M126" s="258"/>
      <c r="N126" s="258"/>
      <c r="O126" s="258"/>
    </row>
    <row r="127" spans="7:15" ht="12">
      <c r="G127" s="258"/>
      <c r="H127" s="258"/>
      <c r="I127" s="258"/>
      <c r="J127" s="258"/>
      <c r="K127" s="258"/>
      <c r="L127" s="258"/>
      <c r="M127" s="258"/>
      <c r="N127" s="258"/>
      <c r="O127" s="258"/>
    </row>
    <row r="128" spans="7:15" ht="12">
      <c r="G128" s="258"/>
      <c r="H128" s="258"/>
      <c r="I128" s="258"/>
      <c r="J128" s="258"/>
      <c r="K128" s="258"/>
      <c r="L128" s="258"/>
      <c r="M128" s="258"/>
      <c r="N128" s="258"/>
      <c r="O128" s="258"/>
    </row>
    <row r="129" spans="7:15" ht="12">
      <c r="G129" s="258"/>
      <c r="H129" s="258"/>
      <c r="I129" s="258"/>
      <c r="J129" s="258"/>
      <c r="K129" s="258"/>
      <c r="L129" s="258"/>
      <c r="M129" s="258"/>
      <c r="N129" s="258"/>
      <c r="O129" s="258"/>
    </row>
    <row r="130" spans="7:15" ht="12">
      <c r="G130" s="258"/>
      <c r="H130" s="258"/>
      <c r="I130" s="258"/>
      <c r="J130" s="258"/>
      <c r="K130" s="258"/>
      <c r="L130" s="258"/>
      <c r="M130" s="258"/>
      <c r="N130" s="258"/>
      <c r="O130" s="258"/>
    </row>
    <row r="131" spans="7:15" ht="12">
      <c r="G131" s="258"/>
      <c r="H131" s="258"/>
      <c r="I131" s="258"/>
      <c r="J131" s="258"/>
      <c r="K131" s="258"/>
      <c r="L131" s="258"/>
      <c r="M131" s="258"/>
      <c r="N131" s="258"/>
      <c r="O131" s="258"/>
    </row>
    <row r="132" spans="7:15" ht="12">
      <c r="G132" s="258"/>
      <c r="H132" s="258"/>
      <c r="I132" s="258"/>
      <c r="J132" s="258"/>
      <c r="K132" s="258"/>
      <c r="L132" s="258"/>
      <c r="M132" s="258"/>
      <c r="N132" s="258"/>
      <c r="O132" s="258"/>
    </row>
    <row r="133" spans="7:15" ht="12">
      <c r="G133" s="258"/>
      <c r="H133" s="258"/>
      <c r="I133" s="258"/>
      <c r="J133" s="258"/>
      <c r="K133" s="258"/>
      <c r="L133" s="258"/>
      <c r="M133" s="258"/>
      <c r="N133" s="258"/>
      <c r="O133" s="258"/>
    </row>
    <row r="134" spans="7:15" ht="12">
      <c r="G134" s="258"/>
      <c r="H134" s="258"/>
      <c r="I134" s="258"/>
      <c r="J134" s="258"/>
      <c r="K134" s="258"/>
      <c r="L134" s="258"/>
      <c r="M134" s="258"/>
      <c r="N134" s="258"/>
      <c r="O134" s="258"/>
    </row>
    <row r="135" spans="7:15" ht="12">
      <c r="G135" s="258"/>
      <c r="H135" s="258"/>
      <c r="I135" s="258"/>
      <c r="J135" s="258"/>
      <c r="K135" s="258"/>
      <c r="L135" s="258"/>
      <c r="M135" s="258"/>
      <c r="N135" s="258"/>
      <c r="O135" s="258"/>
    </row>
    <row r="136" spans="7:15" ht="12">
      <c r="G136" s="258"/>
      <c r="H136" s="258"/>
      <c r="I136" s="258"/>
      <c r="J136" s="258"/>
      <c r="K136" s="258"/>
      <c r="L136" s="258"/>
      <c r="M136" s="258"/>
      <c r="N136" s="258"/>
      <c r="O136" s="258"/>
    </row>
    <row r="137" spans="7:15" ht="12"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7:15" ht="12">
      <c r="G138" s="258"/>
      <c r="H138" s="258"/>
      <c r="I138" s="258"/>
      <c r="J138" s="258"/>
      <c r="K138" s="258"/>
      <c r="L138" s="258"/>
      <c r="M138" s="258"/>
      <c r="N138" s="258"/>
      <c r="O138" s="258"/>
    </row>
    <row r="139" spans="7:15" ht="12">
      <c r="G139" s="258"/>
      <c r="H139" s="258"/>
      <c r="I139" s="258"/>
      <c r="J139" s="258"/>
      <c r="K139" s="258"/>
      <c r="L139" s="258"/>
      <c r="M139" s="258"/>
      <c r="N139" s="258"/>
      <c r="O139" s="258"/>
    </row>
    <row r="140" spans="7:15" ht="12">
      <c r="G140" s="258"/>
      <c r="H140" s="258"/>
      <c r="I140" s="258"/>
      <c r="J140" s="258"/>
      <c r="K140" s="258"/>
      <c r="L140" s="258"/>
      <c r="M140" s="258"/>
      <c r="N140" s="258"/>
      <c r="O140" s="258"/>
    </row>
    <row r="141" spans="7:15" ht="12">
      <c r="G141" s="258"/>
      <c r="H141" s="258"/>
      <c r="I141" s="258"/>
      <c r="J141" s="258"/>
      <c r="K141" s="258"/>
      <c r="L141" s="258"/>
      <c r="M141" s="258"/>
      <c r="N141" s="258"/>
      <c r="O141" s="258"/>
    </row>
    <row r="142" spans="7:15" ht="12">
      <c r="G142" s="258"/>
      <c r="H142" s="258"/>
      <c r="I142" s="258"/>
      <c r="J142" s="258"/>
      <c r="K142" s="258"/>
      <c r="L142" s="258"/>
      <c r="M142" s="258"/>
      <c r="N142" s="258"/>
      <c r="O142" s="258"/>
    </row>
    <row r="143" spans="7:15" ht="12">
      <c r="G143" s="258"/>
      <c r="H143" s="258"/>
      <c r="I143" s="258"/>
      <c r="J143" s="258"/>
      <c r="K143" s="258"/>
      <c r="L143" s="258"/>
      <c r="M143" s="258"/>
      <c r="N143" s="258"/>
      <c r="O143" s="258"/>
    </row>
    <row r="144" spans="7:15" ht="12">
      <c r="G144" s="258"/>
      <c r="H144" s="258"/>
      <c r="I144" s="258"/>
      <c r="J144" s="258"/>
      <c r="K144" s="258"/>
      <c r="L144" s="258"/>
      <c r="M144" s="258"/>
      <c r="N144" s="258"/>
      <c r="O144" s="258"/>
    </row>
    <row r="145" spans="7:15" ht="12">
      <c r="G145" s="258"/>
      <c r="H145" s="258"/>
      <c r="I145" s="258"/>
      <c r="J145" s="258"/>
      <c r="K145" s="258"/>
      <c r="L145" s="258"/>
      <c r="M145" s="258"/>
      <c r="N145" s="258"/>
      <c r="O145" s="258"/>
    </row>
    <row r="146" spans="7:15" ht="12">
      <c r="G146" s="258"/>
      <c r="H146" s="258"/>
      <c r="I146" s="258"/>
      <c r="J146" s="258"/>
      <c r="K146" s="258"/>
      <c r="L146" s="258"/>
      <c r="M146" s="258"/>
      <c r="N146" s="258"/>
      <c r="O146" s="258"/>
    </row>
    <row r="147" spans="7:15" ht="12">
      <c r="G147" s="258"/>
      <c r="H147" s="258"/>
      <c r="I147" s="258"/>
      <c r="J147" s="258"/>
      <c r="K147" s="258"/>
      <c r="L147" s="258"/>
      <c r="M147" s="258"/>
      <c r="N147" s="258"/>
      <c r="O147" s="258"/>
    </row>
    <row r="148" spans="7:15" ht="12">
      <c r="G148" s="258"/>
      <c r="H148" s="258"/>
      <c r="I148" s="258"/>
      <c r="J148" s="258"/>
      <c r="K148" s="258"/>
      <c r="L148" s="258"/>
      <c r="M148" s="258"/>
      <c r="N148" s="258"/>
      <c r="O148" s="258"/>
    </row>
    <row r="149" spans="7:15" ht="12">
      <c r="G149" s="258"/>
      <c r="H149" s="258"/>
      <c r="I149" s="258"/>
      <c r="J149" s="258"/>
      <c r="K149" s="258"/>
      <c r="L149" s="258"/>
      <c r="M149" s="258"/>
      <c r="N149" s="258"/>
      <c r="O149" s="258"/>
    </row>
    <row r="150" spans="7:15" ht="12"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7:15" ht="12">
      <c r="G151" s="258"/>
      <c r="H151" s="258"/>
      <c r="I151" s="258"/>
      <c r="J151" s="258"/>
      <c r="K151" s="258"/>
      <c r="L151" s="258"/>
      <c r="M151" s="258"/>
      <c r="N151" s="258"/>
      <c r="O151" s="258"/>
    </row>
    <row r="152" spans="7:15" ht="12">
      <c r="G152" s="258"/>
      <c r="H152" s="258"/>
      <c r="I152" s="258"/>
      <c r="J152" s="258"/>
      <c r="K152" s="258"/>
      <c r="L152" s="258"/>
      <c r="M152" s="258"/>
      <c r="N152" s="258"/>
      <c r="O152" s="258"/>
    </row>
    <row r="153" spans="7:15" ht="12">
      <c r="G153" s="258"/>
      <c r="H153" s="258"/>
      <c r="I153" s="258"/>
      <c r="J153" s="258"/>
      <c r="K153" s="258"/>
      <c r="L153" s="258"/>
      <c r="M153" s="258"/>
      <c r="N153" s="258"/>
      <c r="O153" s="258"/>
    </row>
    <row r="154" spans="7:15" ht="12">
      <c r="G154" s="258"/>
      <c r="H154" s="258"/>
      <c r="I154" s="258"/>
      <c r="J154" s="258"/>
      <c r="K154" s="258"/>
      <c r="L154" s="258"/>
      <c r="M154" s="258"/>
      <c r="N154" s="258"/>
      <c r="O154" s="258"/>
    </row>
    <row r="155" spans="7:15" ht="12">
      <c r="G155" s="258"/>
      <c r="H155" s="258"/>
      <c r="I155" s="258"/>
      <c r="J155" s="258"/>
      <c r="K155" s="258"/>
      <c r="L155" s="258"/>
      <c r="M155" s="258"/>
      <c r="N155" s="258"/>
      <c r="O155" s="258"/>
    </row>
    <row r="156" spans="7:15" ht="12">
      <c r="G156" s="258"/>
      <c r="H156" s="258"/>
      <c r="I156" s="258"/>
      <c r="J156" s="258"/>
      <c r="K156" s="258"/>
      <c r="L156" s="258"/>
      <c r="M156" s="258"/>
      <c r="N156" s="258"/>
      <c r="O156" s="258"/>
    </row>
    <row r="157" spans="7:15" ht="12">
      <c r="G157" s="258"/>
      <c r="H157" s="258"/>
      <c r="I157" s="258"/>
      <c r="J157" s="258"/>
      <c r="K157" s="258"/>
      <c r="L157" s="258"/>
      <c r="M157" s="258"/>
      <c r="N157" s="258"/>
      <c r="O157" s="258"/>
    </row>
    <row r="158" spans="7:15" ht="12">
      <c r="G158" s="258"/>
      <c r="H158" s="258"/>
      <c r="I158" s="258"/>
      <c r="J158" s="258"/>
      <c r="K158" s="258"/>
      <c r="L158" s="258"/>
      <c r="M158" s="258"/>
      <c r="N158" s="258"/>
      <c r="O158" s="258"/>
    </row>
    <row r="159" spans="7:15" ht="12">
      <c r="G159" s="258"/>
      <c r="H159" s="258"/>
      <c r="I159" s="258"/>
      <c r="J159" s="258"/>
      <c r="K159" s="258"/>
      <c r="L159" s="258"/>
      <c r="M159" s="258"/>
      <c r="N159" s="258"/>
      <c r="O159" s="258"/>
    </row>
    <row r="160" spans="7:15" ht="12">
      <c r="G160" s="258"/>
      <c r="H160" s="258"/>
      <c r="I160" s="258"/>
      <c r="J160" s="258"/>
      <c r="K160" s="258"/>
      <c r="L160" s="258"/>
      <c r="M160" s="258"/>
      <c r="N160" s="258"/>
      <c r="O160" s="258"/>
    </row>
    <row r="161" spans="7:15" ht="12">
      <c r="G161" s="258"/>
      <c r="H161" s="258"/>
      <c r="I161" s="258"/>
      <c r="J161" s="258"/>
      <c r="K161" s="258"/>
      <c r="L161" s="258"/>
      <c r="M161" s="258"/>
      <c r="N161" s="258"/>
      <c r="O161" s="258"/>
    </row>
    <row r="162" spans="7:15" ht="12">
      <c r="G162" s="258"/>
      <c r="H162" s="258"/>
      <c r="I162" s="258"/>
      <c r="J162" s="258"/>
      <c r="K162" s="258"/>
      <c r="L162" s="258"/>
      <c r="M162" s="258"/>
      <c r="N162" s="258"/>
      <c r="O162" s="258"/>
    </row>
    <row r="163" spans="7:15" ht="12">
      <c r="G163" s="258"/>
      <c r="H163" s="258"/>
      <c r="I163" s="258"/>
      <c r="J163" s="258"/>
      <c r="K163" s="258"/>
      <c r="L163" s="258"/>
      <c r="M163" s="258"/>
      <c r="N163" s="258"/>
      <c r="O163" s="258"/>
    </row>
    <row r="164" spans="7:15" ht="12">
      <c r="G164" s="258"/>
      <c r="H164" s="258"/>
      <c r="I164" s="258"/>
      <c r="J164" s="258"/>
      <c r="K164" s="258"/>
      <c r="L164" s="258"/>
      <c r="M164" s="258"/>
      <c r="N164" s="258"/>
      <c r="O164" s="258"/>
    </row>
    <row r="165" spans="7:15" ht="12">
      <c r="G165" s="258"/>
      <c r="H165" s="258"/>
      <c r="I165" s="258"/>
      <c r="J165" s="258"/>
      <c r="K165" s="258"/>
      <c r="L165" s="258"/>
      <c r="M165" s="258"/>
      <c r="N165" s="258"/>
      <c r="O165" s="258"/>
    </row>
    <row r="166" spans="7:15" ht="12">
      <c r="G166" s="258"/>
      <c r="H166" s="258"/>
      <c r="I166" s="258"/>
      <c r="J166" s="258"/>
      <c r="K166" s="258"/>
      <c r="L166" s="258"/>
      <c r="M166" s="258"/>
      <c r="N166" s="258"/>
      <c r="O166" s="258"/>
    </row>
    <row r="167" spans="7:15" ht="12">
      <c r="G167" s="258"/>
      <c r="H167" s="258"/>
      <c r="I167" s="258"/>
      <c r="J167" s="258"/>
      <c r="K167" s="258"/>
      <c r="L167" s="258"/>
      <c r="M167" s="258"/>
      <c r="N167" s="258"/>
      <c r="O167" s="258"/>
    </row>
    <row r="168" spans="7:15" ht="12">
      <c r="G168" s="258"/>
      <c r="H168" s="258"/>
      <c r="I168" s="258"/>
      <c r="J168" s="258"/>
      <c r="K168" s="258"/>
      <c r="L168" s="258"/>
      <c r="M168" s="258"/>
      <c r="N168" s="258"/>
      <c r="O168" s="258"/>
    </row>
    <row r="169" spans="7:15" ht="12">
      <c r="G169" s="258"/>
      <c r="H169" s="258"/>
      <c r="I169" s="258"/>
      <c r="J169" s="258"/>
      <c r="K169" s="258"/>
      <c r="L169" s="258"/>
      <c r="M169" s="258"/>
      <c r="N169" s="258"/>
      <c r="O169" s="258"/>
    </row>
    <row r="170" spans="7:15" ht="12">
      <c r="G170" s="258"/>
      <c r="H170" s="258"/>
      <c r="I170" s="258"/>
      <c r="J170" s="258"/>
      <c r="K170" s="258"/>
      <c r="L170" s="258"/>
      <c r="M170" s="258"/>
      <c r="N170" s="258"/>
      <c r="O170" s="258"/>
    </row>
    <row r="171" spans="7:15" ht="12">
      <c r="G171" s="258"/>
      <c r="H171" s="258"/>
      <c r="I171" s="258"/>
      <c r="J171" s="258"/>
      <c r="K171" s="258"/>
      <c r="L171" s="258"/>
      <c r="M171" s="258"/>
      <c r="N171" s="258"/>
      <c r="O171" s="258"/>
    </row>
    <row r="172" spans="7:15" ht="12">
      <c r="G172" s="258"/>
      <c r="H172" s="258"/>
      <c r="I172" s="258"/>
      <c r="J172" s="258"/>
      <c r="K172" s="258"/>
      <c r="L172" s="258"/>
      <c r="M172" s="258"/>
      <c r="N172" s="258"/>
      <c r="O172" s="258"/>
    </row>
    <row r="173" spans="7:15" ht="12">
      <c r="G173" s="258"/>
      <c r="H173" s="258"/>
      <c r="I173" s="258"/>
      <c r="J173" s="258"/>
      <c r="K173" s="258"/>
      <c r="L173" s="258"/>
      <c r="M173" s="258"/>
      <c r="N173" s="258"/>
      <c r="O173" s="258"/>
    </row>
    <row r="174" spans="7:15" ht="12">
      <c r="G174" s="258"/>
      <c r="H174" s="258"/>
      <c r="I174" s="258"/>
      <c r="J174" s="258"/>
      <c r="K174" s="258"/>
      <c r="L174" s="258"/>
      <c r="M174" s="258"/>
      <c r="N174" s="258"/>
      <c r="O174" s="258"/>
    </row>
    <row r="175" spans="7:15" ht="12">
      <c r="G175" s="258"/>
      <c r="H175" s="258"/>
      <c r="I175" s="258"/>
      <c r="J175" s="258"/>
      <c r="K175" s="258"/>
      <c r="L175" s="258"/>
      <c r="M175" s="258"/>
      <c r="N175" s="258"/>
      <c r="O175" s="258"/>
    </row>
    <row r="176" spans="7:15" ht="12">
      <c r="G176" s="258"/>
      <c r="H176" s="258"/>
      <c r="I176" s="258"/>
      <c r="J176" s="258"/>
      <c r="K176" s="258"/>
      <c r="L176" s="258"/>
      <c r="M176" s="258"/>
      <c r="N176" s="258"/>
      <c r="O176" s="258"/>
    </row>
    <row r="177" spans="7:15" ht="12">
      <c r="G177" s="258"/>
      <c r="H177" s="258"/>
      <c r="I177" s="258"/>
      <c r="J177" s="258"/>
      <c r="K177" s="258"/>
      <c r="L177" s="258"/>
      <c r="M177" s="258"/>
      <c r="N177" s="258"/>
      <c r="O177" s="258"/>
    </row>
    <row r="178" spans="7:15" ht="12">
      <c r="G178" s="258"/>
      <c r="H178" s="258"/>
      <c r="I178" s="258"/>
      <c r="J178" s="258"/>
      <c r="K178" s="258"/>
      <c r="L178" s="258"/>
      <c r="M178" s="258"/>
      <c r="N178" s="258"/>
      <c r="O178" s="258"/>
    </row>
    <row r="179" spans="7:15" ht="12">
      <c r="G179" s="258"/>
      <c r="H179" s="258"/>
      <c r="I179" s="258"/>
      <c r="J179" s="258"/>
      <c r="K179" s="258"/>
      <c r="L179" s="258"/>
      <c r="M179" s="258"/>
      <c r="N179" s="258"/>
      <c r="O179" s="258"/>
    </row>
    <row r="180" spans="7:15" ht="12">
      <c r="G180" s="258"/>
      <c r="H180" s="258"/>
      <c r="I180" s="258"/>
      <c r="J180" s="258"/>
      <c r="K180" s="258"/>
      <c r="L180" s="258"/>
      <c r="M180" s="258"/>
      <c r="N180" s="258"/>
      <c r="O180" s="258"/>
    </row>
    <row r="181" spans="7:15" ht="12">
      <c r="G181" s="258"/>
      <c r="H181" s="258"/>
      <c r="I181" s="258"/>
      <c r="J181" s="258"/>
      <c r="K181" s="258"/>
      <c r="L181" s="258"/>
      <c r="M181" s="258"/>
      <c r="N181" s="258"/>
      <c r="O181" s="258"/>
    </row>
    <row r="182" spans="7:15" ht="12">
      <c r="G182" s="258"/>
      <c r="H182" s="258"/>
      <c r="I182" s="258"/>
      <c r="J182" s="258"/>
      <c r="K182" s="258"/>
      <c r="L182" s="258"/>
      <c r="M182" s="258"/>
      <c r="N182" s="258"/>
      <c r="O182" s="258"/>
    </row>
    <row r="183" spans="7:15" ht="12">
      <c r="G183" s="258"/>
      <c r="H183" s="258"/>
      <c r="I183" s="258"/>
      <c r="J183" s="258"/>
      <c r="K183" s="258"/>
      <c r="L183" s="258"/>
      <c r="M183" s="258"/>
      <c r="N183" s="258"/>
      <c r="O183" s="258"/>
    </row>
    <row r="184" spans="7:15" ht="12">
      <c r="G184" s="258"/>
      <c r="H184" s="258"/>
      <c r="I184" s="258"/>
      <c r="J184" s="258"/>
      <c r="K184" s="258"/>
      <c r="L184" s="258"/>
      <c r="M184" s="258"/>
      <c r="N184" s="258"/>
      <c r="O184" s="258"/>
    </row>
    <row r="185" spans="7:15" ht="12">
      <c r="G185" s="258"/>
      <c r="H185" s="258"/>
      <c r="I185" s="258"/>
      <c r="J185" s="258"/>
      <c r="K185" s="258"/>
      <c r="L185" s="258"/>
      <c r="M185" s="258"/>
      <c r="N185" s="258"/>
      <c r="O185" s="258"/>
    </row>
    <row r="186" spans="7:15" ht="12">
      <c r="G186" s="258"/>
      <c r="H186" s="258"/>
      <c r="I186" s="258"/>
      <c r="J186" s="258"/>
      <c r="K186" s="258"/>
      <c r="L186" s="258"/>
      <c r="M186" s="258"/>
      <c r="N186" s="258"/>
      <c r="O186" s="258"/>
    </row>
    <row r="187" spans="7:15" ht="12">
      <c r="G187" s="258"/>
      <c r="H187" s="258"/>
      <c r="I187" s="258"/>
      <c r="J187" s="258"/>
      <c r="K187" s="258"/>
      <c r="L187" s="258"/>
      <c r="M187" s="258"/>
      <c r="N187" s="258"/>
      <c r="O187" s="258"/>
    </row>
    <row r="188" spans="7:15" ht="12">
      <c r="G188" s="258"/>
      <c r="H188" s="258"/>
      <c r="I188" s="258"/>
      <c r="J188" s="258"/>
      <c r="K188" s="258"/>
      <c r="L188" s="258"/>
      <c r="M188" s="258"/>
      <c r="N188" s="258"/>
      <c r="O188" s="258"/>
    </row>
    <row r="189" spans="7:15" ht="12">
      <c r="G189" s="258"/>
      <c r="H189" s="258"/>
      <c r="I189" s="258"/>
      <c r="J189" s="258"/>
      <c r="K189" s="258"/>
      <c r="L189" s="258"/>
      <c r="M189" s="258"/>
      <c r="N189" s="258"/>
      <c r="O189" s="258"/>
    </row>
    <row r="190" spans="7:15" ht="12">
      <c r="G190" s="258"/>
      <c r="H190" s="258"/>
      <c r="I190" s="258"/>
      <c r="J190" s="258"/>
      <c r="K190" s="258"/>
      <c r="L190" s="258"/>
      <c r="M190" s="258"/>
      <c r="N190" s="258"/>
      <c r="O190" s="258"/>
    </row>
    <row r="191" spans="7:15" ht="12">
      <c r="G191" s="258"/>
      <c r="H191" s="258"/>
      <c r="I191" s="258"/>
      <c r="J191" s="258"/>
      <c r="K191" s="258"/>
      <c r="L191" s="258"/>
      <c r="M191" s="258"/>
      <c r="N191" s="258"/>
      <c r="O191" s="258"/>
    </row>
    <row r="192" spans="7:15" ht="12">
      <c r="G192" s="258"/>
      <c r="H192" s="258"/>
      <c r="I192" s="258"/>
      <c r="J192" s="258"/>
      <c r="K192" s="258"/>
      <c r="L192" s="258"/>
      <c r="M192" s="258"/>
      <c r="N192" s="258"/>
      <c r="O192" s="258"/>
    </row>
    <row r="193" spans="7:15" ht="12">
      <c r="G193" s="258"/>
      <c r="H193" s="258"/>
      <c r="I193" s="258"/>
      <c r="J193" s="258"/>
      <c r="K193" s="258"/>
      <c r="L193" s="258"/>
      <c r="M193" s="258"/>
      <c r="N193" s="258"/>
      <c r="O193" s="258"/>
    </row>
    <row r="194" spans="7:15" ht="12">
      <c r="G194" s="258"/>
      <c r="H194" s="258"/>
      <c r="I194" s="258"/>
      <c r="J194" s="258"/>
      <c r="K194" s="258"/>
      <c r="L194" s="258"/>
      <c r="M194" s="258"/>
      <c r="N194" s="258"/>
      <c r="O194" s="258"/>
    </row>
    <row r="195" spans="7:15" ht="12">
      <c r="G195" s="258"/>
      <c r="H195" s="258"/>
      <c r="I195" s="258"/>
      <c r="J195" s="258"/>
      <c r="K195" s="258"/>
      <c r="L195" s="258"/>
      <c r="M195" s="258"/>
      <c r="N195" s="258"/>
      <c r="O195" s="258"/>
    </row>
    <row r="196" spans="7:15" ht="12">
      <c r="G196" s="258"/>
      <c r="H196" s="258"/>
      <c r="I196" s="258"/>
      <c r="J196" s="258"/>
      <c r="K196" s="258"/>
      <c r="L196" s="258"/>
      <c r="M196" s="258"/>
      <c r="N196" s="258"/>
      <c r="O196" s="258"/>
    </row>
    <row r="197" spans="7:15" ht="12">
      <c r="G197" s="258"/>
      <c r="H197" s="258"/>
      <c r="I197" s="258"/>
      <c r="J197" s="258"/>
      <c r="K197" s="258"/>
      <c r="L197" s="258"/>
      <c r="M197" s="258"/>
      <c r="N197" s="258"/>
      <c r="O197" s="258"/>
    </row>
    <row r="198" spans="7:15" ht="12">
      <c r="G198" s="258"/>
      <c r="H198" s="258"/>
      <c r="I198" s="258"/>
      <c r="J198" s="258"/>
      <c r="K198" s="258"/>
      <c r="L198" s="258"/>
      <c r="M198" s="258"/>
      <c r="N198" s="258"/>
      <c r="O198" s="258"/>
    </row>
    <row r="199" spans="7:15" ht="12">
      <c r="G199" s="258"/>
      <c r="H199" s="258"/>
      <c r="I199" s="258"/>
      <c r="J199" s="258"/>
      <c r="K199" s="258"/>
      <c r="L199" s="258"/>
      <c r="M199" s="258"/>
      <c r="N199" s="258"/>
      <c r="O199" s="258"/>
    </row>
    <row r="200" spans="7:15" ht="12">
      <c r="G200" s="258"/>
      <c r="H200" s="258"/>
      <c r="I200" s="258"/>
      <c r="J200" s="258"/>
      <c r="K200" s="258"/>
      <c r="L200" s="258"/>
      <c r="M200" s="258"/>
      <c r="N200" s="258"/>
      <c r="O200" s="258"/>
    </row>
    <row r="201" spans="7:15" ht="12">
      <c r="G201" s="258"/>
      <c r="H201" s="258"/>
      <c r="I201" s="258"/>
      <c r="J201" s="258"/>
      <c r="K201" s="258"/>
      <c r="L201" s="258"/>
      <c r="M201" s="258"/>
      <c r="N201" s="258"/>
      <c r="O201" s="258"/>
    </row>
    <row r="202" spans="7:15" ht="12">
      <c r="G202" s="258"/>
      <c r="H202" s="258"/>
      <c r="I202" s="258"/>
      <c r="J202" s="258"/>
      <c r="K202" s="258"/>
      <c r="L202" s="258"/>
      <c r="M202" s="258"/>
      <c r="N202" s="258"/>
      <c r="O202" s="258"/>
    </row>
    <row r="203" spans="7:15" ht="12">
      <c r="G203" s="258"/>
      <c r="H203" s="258"/>
      <c r="I203" s="258"/>
      <c r="J203" s="258"/>
      <c r="K203" s="258"/>
      <c r="L203" s="258"/>
      <c r="M203" s="258"/>
      <c r="N203" s="258"/>
      <c r="O203" s="258"/>
    </row>
    <row r="204" spans="7:15" ht="12">
      <c r="G204" s="258"/>
      <c r="H204" s="258"/>
      <c r="I204" s="258"/>
      <c r="J204" s="258"/>
      <c r="K204" s="258"/>
      <c r="L204" s="258"/>
      <c r="M204" s="258"/>
      <c r="N204" s="258"/>
      <c r="O204" s="258"/>
    </row>
    <row r="205" spans="7:15" ht="12">
      <c r="G205" s="258"/>
      <c r="H205" s="258"/>
      <c r="I205" s="258"/>
      <c r="J205" s="258"/>
      <c r="K205" s="258"/>
      <c r="L205" s="258"/>
      <c r="M205" s="258"/>
      <c r="N205" s="258"/>
      <c r="O205" s="258"/>
    </row>
    <row r="206" spans="7:15" ht="12">
      <c r="G206" s="258"/>
      <c r="H206" s="258"/>
      <c r="I206" s="258"/>
      <c r="J206" s="258"/>
      <c r="K206" s="258"/>
      <c r="L206" s="258"/>
      <c r="M206" s="258"/>
      <c r="N206" s="258"/>
      <c r="O206" s="258"/>
    </row>
    <row r="207" spans="7:15" ht="12">
      <c r="G207" s="258"/>
      <c r="H207" s="258"/>
      <c r="I207" s="258"/>
      <c r="J207" s="258"/>
      <c r="K207" s="258"/>
      <c r="L207" s="258"/>
      <c r="M207" s="258"/>
      <c r="N207" s="258"/>
      <c r="O207" s="258"/>
    </row>
  </sheetData>
  <sheetProtection/>
  <mergeCells count="276">
    <mergeCell ref="I108:I111"/>
    <mergeCell ref="J108:J111"/>
    <mergeCell ref="A112:H115"/>
    <mergeCell ref="I112:I115"/>
    <mergeCell ref="J112:J115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N1:O1"/>
    <mergeCell ref="G19:G22"/>
    <mergeCell ref="H19:H22"/>
    <mergeCell ref="I19:I22"/>
    <mergeCell ref="J19:J22"/>
    <mergeCell ref="I100:I103"/>
    <mergeCell ref="I96:I99"/>
    <mergeCell ref="J100:J103"/>
    <mergeCell ref="F96:F99"/>
    <mergeCell ref="A19:A22"/>
    <mergeCell ref="B19:B22"/>
    <mergeCell ref="C19:C22"/>
    <mergeCell ref="D19:D22"/>
    <mergeCell ref="E19:E22"/>
    <mergeCell ref="F19:F22"/>
    <mergeCell ref="A92:A95"/>
    <mergeCell ref="B92:B95"/>
    <mergeCell ref="J11:J14"/>
    <mergeCell ref="F11:F14"/>
    <mergeCell ref="G11:G14"/>
    <mergeCell ref="H11:H14"/>
    <mergeCell ref="I11:I14"/>
    <mergeCell ref="C100:C103"/>
    <mergeCell ref="D100:D103"/>
    <mergeCell ref="E96:E99"/>
    <mergeCell ref="J88:J91"/>
    <mergeCell ref="C92:C95"/>
    <mergeCell ref="D92:D95"/>
    <mergeCell ref="H100:H103"/>
    <mergeCell ref="F100:F103"/>
    <mergeCell ref="G100:G103"/>
    <mergeCell ref="J96:J99"/>
    <mergeCell ref="E92:E95"/>
    <mergeCell ref="J92:J95"/>
    <mergeCell ref="H92:H95"/>
    <mergeCell ref="F92:F95"/>
    <mergeCell ref="G92:G95"/>
    <mergeCell ref="I92:I95"/>
    <mergeCell ref="J84:J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J68:J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64:J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J56:J59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J51:J54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47:J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43:J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39:J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35:J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1:J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27:J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23:J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15:J18"/>
    <mergeCell ref="A23:A26"/>
    <mergeCell ref="B23:B26"/>
    <mergeCell ref="C23:C26"/>
    <mergeCell ref="D23:D26"/>
    <mergeCell ref="E23:E26"/>
    <mergeCell ref="F23:F26"/>
    <mergeCell ref="G23:G26"/>
    <mergeCell ref="H23:H26"/>
    <mergeCell ref="A15:A18"/>
    <mergeCell ref="B15:B18"/>
    <mergeCell ref="C15:C18"/>
    <mergeCell ref="D15:D18"/>
    <mergeCell ref="E15:E18"/>
    <mergeCell ref="F15:F18"/>
    <mergeCell ref="A7:A10"/>
    <mergeCell ref="B7:B10"/>
    <mergeCell ref="C7:C10"/>
    <mergeCell ref="D7:D10"/>
    <mergeCell ref="E7:E10"/>
    <mergeCell ref="F7:F10"/>
    <mergeCell ref="A2:O2"/>
    <mergeCell ref="A4:A5"/>
    <mergeCell ref="B4:B5"/>
    <mergeCell ref="C4:C5"/>
    <mergeCell ref="D4:D5"/>
    <mergeCell ref="E4:E5"/>
    <mergeCell ref="F4:F5"/>
    <mergeCell ref="G4:H4"/>
    <mergeCell ref="I15:I18"/>
    <mergeCell ref="G7:G10"/>
    <mergeCell ref="H15:H18"/>
    <mergeCell ref="F104:F107"/>
    <mergeCell ref="L4:O4"/>
    <mergeCell ref="J4:J5"/>
    <mergeCell ref="I23:I26"/>
    <mergeCell ref="I7:I10"/>
    <mergeCell ref="J7:J10"/>
    <mergeCell ref="G15:G18"/>
    <mergeCell ref="C104:C107"/>
    <mergeCell ref="D104:D107"/>
    <mergeCell ref="E104:E107"/>
    <mergeCell ref="G96:G99"/>
    <mergeCell ref="I4:I5"/>
    <mergeCell ref="K4:K5"/>
    <mergeCell ref="I104:I107"/>
    <mergeCell ref="J104:J107"/>
    <mergeCell ref="E11:E14"/>
    <mergeCell ref="H7:H10"/>
    <mergeCell ref="A11:A14"/>
    <mergeCell ref="B11:B14"/>
    <mergeCell ref="C11:C14"/>
    <mergeCell ref="D11:D14"/>
    <mergeCell ref="G104:G107"/>
    <mergeCell ref="H104:H107"/>
    <mergeCell ref="A104:A107"/>
    <mergeCell ref="E100:E103"/>
    <mergeCell ref="H96:H99"/>
    <mergeCell ref="B104:B107"/>
    <mergeCell ref="A100:A103"/>
    <mergeCell ref="B100:B103"/>
    <mergeCell ref="A96:A99"/>
    <mergeCell ref="B96:B99"/>
    <mergeCell ref="C96:C99"/>
    <mergeCell ref="D96:D99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8" r:id="rId1"/>
  <rowBreaks count="1" manualBreakCount="1">
    <brk id="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G57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24.75" customHeight="1"/>
  <cols>
    <col min="1" max="1" width="4.140625" style="24" customWidth="1"/>
    <col min="2" max="2" width="95.28125" style="25" customWidth="1"/>
    <col min="3" max="3" width="27.00390625" style="722" customWidth="1"/>
    <col min="4" max="4" width="9.140625" style="20" customWidth="1"/>
    <col min="5" max="6" width="10.57421875" style="20" bestFit="1" customWidth="1"/>
    <col min="7" max="16384" width="9.140625" style="20" customWidth="1"/>
  </cols>
  <sheetData>
    <row r="1" spans="2:3" ht="57.75" customHeight="1">
      <c r="B1" s="661"/>
      <c r="C1" s="661" t="s">
        <v>367</v>
      </c>
    </row>
    <row r="2" spans="1:3" ht="12.75" customHeight="1">
      <c r="A2" s="20"/>
      <c r="B2" s="20"/>
      <c r="C2" s="645"/>
    </row>
    <row r="3" spans="1:7" ht="63" customHeight="1">
      <c r="A3" s="976" t="s">
        <v>305</v>
      </c>
      <c r="B3" s="977"/>
      <c r="C3" s="977"/>
      <c r="E3" s="978"/>
      <c r="F3" s="979"/>
      <c r="G3" s="979"/>
    </row>
    <row r="4" spans="1:3" ht="15.75">
      <c r="A4" s="662"/>
      <c r="B4" s="662"/>
      <c r="C4" s="662"/>
    </row>
    <row r="5" spans="1:3" ht="15.75" thickBot="1">
      <c r="A5" s="20"/>
      <c r="B5" s="663"/>
      <c r="C5" s="664" t="s">
        <v>6</v>
      </c>
    </row>
    <row r="6" spans="1:3" ht="23.25" customHeight="1" thickBot="1">
      <c r="A6" s="980" t="s">
        <v>306</v>
      </c>
      <c r="B6" s="981"/>
      <c r="C6" s="982"/>
    </row>
    <row r="7" spans="1:4" ht="54" customHeight="1" thickBot="1">
      <c r="A7" s="665" t="s">
        <v>7</v>
      </c>
      <c r="B7" s="666" t="s">
        <v>307</v>
      </c>
      <c r="C7" s="667" t="s">
        <v>308</v>
      </c>
      <c r="D7" s="346"/>
    </row>
    <row r="8" spans="1:3" ht="12.75" thickBot="1">
      <c r="A8" s="668">
        <v>1</v>
      </c>
      <c r="B8" s="669">
        <v>2</v>
      </c>
      <c r="C8" s="670">
        <v>3</v>
      </c>
    </row>
    <row r="9" spans="1:3" ht="11.25" customHeight="1" thickBot="1">
      <c r="A9" s="671"/>
      <c r="B9" s="672"/>
      <c r="C9" s="673"/>
    </row>
    <row r="10" spans="1:6" ht="24.75" customHeight="1" thickBot="1">
      <c r="A10" s="674" t="s">
        <v>309</v>
      </c>
      <c r="B10" s="675" t="s">
        <v>310</v>
      </c>
      <c r="C10" s="676">
        <f>SUM(C11)</f>
        <v>5567556</v>
      </c>
      <c r="E10" s="677">
        <f>SUM(C10+C12)</f>
        <v>13384520</v>
      </c>
      <c r="F10" s="677"/>
    </row>
    <row r="11" spans="1:3" ht="24.75" customHeight="1" thickBot="1">
      <c r="A11" s="678" t="s">
        <v>8</v>
      </c>
      <c r="B11" s="679" t="s">
        <v>311</v>
      </c>
      <c r="C11" s="680">
        <v>5567556</v>
      </c>
    </row>
    <row r="12" spans="1:5" ht="24.75" customHeight="1" thickBot="1">
      <c r="A12" s="681" t="s">
        <v>312</v>
      </c>
      <c r="B12" s="675" t="s">
        <v>313</v>
      </c>
      <c r="C12" s="682">
        <f>SUM(C13:C18)</f>
        <v>7816964</v>
      </c>
      <c r="E12" s="677"/>
    </row>
    <row r="13" spans="1:3" ht="24.75" customHeight="1">
      <c r="A13" s="683" t="s">
        <v>8</v>
      </c>
      <c r="B13" s="684" t="s">
        <v>314</v>
      </c>
      <c r="C13" s="685">
        <v>33000</v>
      </c>
    </row>
    <row r="14" spans="1:3" ht="24.75" customHeight="1">
      <c r="A14" s="686" t="s">
        <v>9</v>
      </c>
      <c r="B14" s="687" t="s">
        <v>315</v>
      </c>
      <c r="C14" s="688">
        <v>200000</v>
      </c>
    </row>
    <row r="15" spans="1:3" ht="24.75" customHeight="1">
      <c r="A15" s="686" t="s">
        <v>10</v>
      </c>
      <c r="B15" s="687" t="s">
        <v>316</v>
      </c>
      <c r="C15" s="688">
        <v>510000</v>
      </c>
    </row>
    <row r="16" spans="1:3" ht="24.75" customHeight="1">
      <c r="A16" s="686" t="s">
        <v>11</v>
      </c>
      <c r="B16" s="687" t="s">
        <v>317</v>
      </c>
      <c r="C16" s="688">
        <v>6408964</v>
      </c>
    </row>
    <row r="17" spans="1:3" ht="24.75" customHeight="1">
      <c r="A17" s="686" t="s">
        <v>12</v>
      </c>
      <c r="B17" s="687" t="s">
        <v>318</v>
      </c>
      <c r="C17" s="688">
        <v>615000</v>
      </c>
    </row>
    <row r="18" spans="1:3" ht="24.75" customHeight="1" thickBot="1">
      <c r="A18" s="686" t="s">
        <v>13</v>
      </c>
      <c r="B18" s="689" t="s">
        <v>319</v>
      </c>
      <c r="C18" s="688">
        <v>50000</v>
      </c>
    </row>
    <row r="19" spans="1:3" ht="24.75" customHeight="1" hidden="1">
      <c r="A19" s="686" t="s">
        <v>14</v>
      </c>
      <c r="B19" s="690"/>
      <c r="C19" s="691"/>
    </row>
    <row r="20" spans="1:3" ht="24.75" customHeight="1" hidden="1">
      <c r="A20" s="686" t="s">
        <v>13</v>
      </c>
      <c r="B20" s="689" t="s">
        <v>319</v>
      </c>
      <c r="C20" s="692">
        <v>50000</v>
      </c>
    </row>
    <row r="21" spans="1:3" ht="24.75" customHeight="1" thickBot="1">
      <c r="A21" s="665" t="s">
        <v>320</v>
      </c>
      <c r="B21" s="693" t="s">
        <v>321</v>
      </c>
      <c r="C21" s="694">
        <f>SUM(C24+C27+C30+C33+C36+C39+C44+C47+C50+C53)</f>
        <v>13384520</v>
      </c>
    </row>
    <row r="22" spans="1:5" ht="24.75" customHeight="1">
      <c r="A22" s="983"/>
      <c r="B22" s="695" t="s">
        <v>322</v>
      </c>
      <c r="C22" s="696">
        <f>SUM(C25+C28+C31+C34+C37+C40+C45+C48+C51+C54)</f>
        <v>12675034</v>
      </c>
      <c r="E22" s="26"/>
    </row>
    <row r="23" spans="1:3" ht="24.75" customHeight="1" thickBot="1">
      <c r="A23" s="984"/>
      <c r="B23" s="697" t="s">
        <v>164</v>
      </c>
      <c r="C23" s="698">
        <f>SUM(C26+C29+C32+C35+C38+C41+C46+C49+C52+C55)</f>
        <v>709486</v>
      </c>
    </row>
    <row r="24" spans="1:4" ht="24.75" customHeight="1">
      <c r="A24" s="683" t="s">
        <v>8</v>
      </c>
      <c r="B24" s="699" t="s">
        <v>165</v>
      </c>
      <c r="C24" s="700">
        <f>SUM(C25+C26)</f>
        <v>134350</v>
      </c>
      <c r="D24" s="26"/>
    </row>
    <row r="25" spans="1:4" ht="24.75" customHeight="1">
      <c r="A25" s="701"/>
      <c r="B25" s="702" t="s">
        <v>322</v>
      </c>
      <c r="C25" s="703">
        <v>0</v>
      </c>
      <c r="D25" s="26"/>
    </row>
    <row r="26" spans="1:3" ht="24.75" customHeight="1">
      <c r="A26" s="683"/>
      <c r="B26" s="702" t="s">
        <v>164</v>
      </c>
      <c r="C26" s="703">
        <v>134350</v>
      </c>
    </row>
    <row r="27" spans="1:3" ht="32.25" customHeight="1">
      <c r="A27" s="683" t="s">
        <v>9</v>
      </c>
      <c r="B27" s="704" t="s">
        <v>166</v>
      </c>
      <c r="C27" s="705">
        <f>SUM(C28+C29)</f>
        <v>355136</v>
      </c>
    </row>
    <row r="28" spans="1:3" ht="24.75" customHeight="1">
      <c r="A28" s="701"/>
      <c r="B28" s="702" t="s">
        <v>322</v>
      </c>
      <c r="C28" s="688">
        <v>200000</v>
      </c>
    </row>
    <row r="29" spans="1:3" ht="24.75" customHeight="1">
      <c r="A29" s="683"/>
      <c r="B29" s="702" t="s">
        <v>164</v>
      </c>
      <c r="C29" s="688">
        <v>155136</v>
      </c>
    </row>
    <row r="30" spans="1:3" ht="24.75" customHeight="1">
      <c r="A30" s="678" t="s">
        <v>10</v>
      </c>
      <c r="B30" s="706" t="s">
        <v>167</v>
      </c>
      <c r="C30" s="705">
        <f>SUM(C31+C32)</f>
        <v>30000</v>
      </c>
    </row>
    <row r="31" spans="1:3" ht="24.75" customHeight="1">
      <c r="A31" s="701"/>
      <c r="B31" s="707" t="s">
        <v>322</v>
      </c>
      <c r="C31" s="703">
        <v>30000</v>
      </c>
    </row>
    <row r="32" spans="1:3" ht="24.75" customHeight="1">
      <c r="A32" s="683"/>
      <c r="B32" s="702" t="s">
        <v>164</v>
      </c>
      <c r="C32" s="703">
        <v>0</v>
      </c>
    </row>
    <row r="33" spans="1:3" ht="24.75" customHeight="1">
      <c r="A33" s="686" t="s">
        <v>11</v>
      </c>
      <c r="B33" s="706" t="s">
        <v>323</v>
      </c>
      <c r="C33" s="705">
        <f>SUM(C34+C35)</f>
        <v>234464</v>
      </c>
    </row>
    <row r="34" spans="1:3" ht="24.75" customHeight="1">
      <c r="A34" s="708"/>
      <c r="B34" s="707" t="s">
        <v>322</v>
      </c>
      <c r="C34" s="703">
        <v>234464</v>
      </c>
    </row>
    <row r="35" spans="1:3" ht="24.75" customHeight="1">
      <c r="A35" s="709"/>
      <c r="B35" s="702" t="s">
        <v>164</v>
      </c>
      <c r="C35" s="688">
        <v>0</v>
      </c>
    </row>
    <row r="36" spans="1:3" ht="24.75" customHeight="1">
      <c r="A36" s="686" t="s">
        <v>12</v>
      </c>
      <c r="B36" s="710" t="s">
        <v>324</v>
      </c>
      <c r="C36" s="705">
        <f>SUM(C37+C38)</f>
        <v>320000</v>
      </c>
    </row>
    <row r="37" spans="1:3" ht="24.75" customHeight="1">
      <c r="A37" s="985"/>
      <c r="B37" s="707" t="s">
        <v>322</v>
      </c>
      <c r="C37" s="703">
        <v>100000</v>
      </c>
    </row>
    <row r="38" spans="1:3" ht="24.75" customHeight="1">
      <c r="A38" s="986"/>
      <c r="B38" s="702" t="s">
        <v>164</v>
      </c>
      <c r="C38" s="703">
        <v>220000</v>
      </c>
    </row>
    <row r="39" spans="1:3" ht="24.75" customHeight="1">
      <c r="A39" s="686" t="s">
        <v>13</v>
      </c>
      <c r="B39" s="711" t="s">
        <v>325</v>
      </c>
      <c r="C39" s="712">
        <f>SUM(C40+C41)</f>
        <v>228000</v>
      </c>
    </row>
    <row r="40" spans="1:3" ht="24.75" customHeight="1">
      <c r="A40" s="686"/>
      <c r="B40" s="707" t="s">
        <v>322</v>
      </c>
      <c r="C40" s="703">
        <v>28000</v>
      </c>
    </row>
    <row r="41" spans="1:3" ht="24.75" customHeight="1" thickBot="1">
      <c r="A41" s="686"/>
      <c r="B41" s="702" t="s">
        <v>164</v>
      </c>
      <c r="C41" s="703">
        <v>200000</v>
      </c>
    </row>
    <row r="42" spans="1:3" ht="12.75" thickBot="1">
      <c r="A42" s="668">
        <v>1</v>
      </c>
      <c r="B42" s="669">
        <v>2</v>
      </c>
      <c r="C42" s="670">
        <v>3</v>
      </c>
    </row>
    <row r="43" spans="1:3" ht="11.25" customHeight="1">
      <c r="A43" s="726"/>
      <c r="B43" s="727"/>
      <c r="C43" s="728"/>
    </row>
    <row r="44" spans="1:3" ht="15.75">
      <c r="A44" s="683" t="s">
        <v>14</v>
      </c>
      <c r="B44" s="724" t="s">
        <v>326</v>
      </c>
      <c r="C44" s="725">
        <f>SUM(C45+C46)</f>
        <v>134000</v>
      </c>
    </row>
    <row r="45" spans="1:3" ht="34.5" customHeight="1">
      <c r="A45" s="686"/>
      <c r="B45" s="707" t="s">
        <v>322</v>
      </c>
      <c r="C45" s="703">
        <v>134000</v>
      </c>
    </row>
    <row r="46" spans="1:3" ht="24.75" customHeight="1">
      <c r="A46" s="686"/>
      <c r="B46" s="702" t="s">
        <v>164</v>
      </c>
      <c r="C46" s="703">
        <v>0</v>
      </c>
    </row>
    <row r="47" spans="1:3" ht="24.75" customHeight="1">
      <c r="A47" s="686" t="s">
        <v>15</v>
      </c>
      <c r="B47" s="713" t="s">
        <v>327</v>
      </c>
      <c r="C47" s="712">
        <f>SUM(C48+C49)</f>
        <v>230000</v>
      </c>
    </row>
    <row r="48" spans="1:3" ht="24.75" customHeight="1">
      <c r="A48" s="686"/>
      <c r="B48" s="707" t="s">
        <v>322</v>
      </c>
      <c r="C48" s="703">
        <v>230000</v>
      </c>
    </row>
    <row r="49" spans="1:3" ht="24.75" customHeight="1">
      <c r="A49" s="686"/>
      <c r="B49" s="702" t="s">
        <v>164</v>
      </c>
      <c r="C49" s="703">
        <v>0</v>
      </c>
    </row>
    <row r="50" spans="1:3" ht="24.75" customHeight="1">
      <c r="A50" s="686" t="s">
        <v>16</v>
      </c>
      <c r="B50" s="714" t="s">
        <v>328</v>
      </c>
      <c r="C50" s="712">
        <f>SUM(C51+C52)</f>
        <v>86000</v>
      </c>
    </row>
    <row r="51" spans="1:3" ht="24.75" customHeight="1">
      <c r="A51" s="686"/>
      <c r="B51" s="707" t="s">
        <v>322</v>
      </c>
      <c r="C51" s="703">
        <v>86000</v>
      </c>
    </row>
    <row r="52" spans="1:3" ht="24.75" customHeight="1">
      <c r="A52" s="686"/>
      <c r="B52" s="702" t="s">
        <v>164</v>
      </c>
      <c r="C52" s="703">
        <v>0</v>
      </c>
    </row>
    <row r="53" spans="1:3" ht="24.75" customHeight="1">
      <c r="A53" s="686" t="s">
        <v>17</v>
      </c>
      <c r="B53" s="715" t="s">
        <v>329</v>
      </c>
      <c r="C53" s="712">
        <f>SUM(C54+C55)</f>
        <v>11632570</v>
      </c>
    </row>
    <row r="54" spans="1:3" ht="24.75" customHeight="1">
      <c r="A54" s="686"/>
      <c r="B54" s="707" t="s">
        <v>322</v>
      </c>
      <c r="C54" s="688">
        <v>11632570</v>
      </c>
    </row>
    <row r="55" spans="1:3" ht="27.75" customHeight="1">
      <c r="A55" s="686"/>
      <c r="B55" s="702" t="s">
        <v>164</v>
      </c>
      <c r="C55" s="723">
        <v>0</v>
      </c>
    </row>
    <row r="56" spans="1:3" ht="24.75" customHeight="1" thickBot="1">
      <c r="A56" s="716" t="s">
        <v>330</v>
      </c>
      <c r="B56" s="717" t="s">
        <v>331</v>
      </c>
      <c r="C56" s="718">
        <f>SUM(C57)</f>
        <v>0</v>
      </c>
    </row>
    <row r="57" spans="1:3" ht="24.75" customHeight="1" thickBot="1">
      <c r="A57" s="719" t="s">
        <v>8</v>
      </c>
      <c r="B57" s="720" t="s">
        <v>332</v>
      </c>
      <c r="C57" s="721">
        <v>0</v>
      </c>
    </row>
  </sheetData>
  <sheetProtection/>
  <mergeCells count="5">
    <mergeCell ref="A3:C3"/>
    <mergeCell ref="E3:G3"/>
    <mergeCell ref="A6:C6"/>
    <mergeCell ref="A22:A23"/>
    <mergeCell ref="A37:A38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scale="76" r:id="rId1"/>
  <rowBreaks count="1" manualBreakCount="1">
    <brk id="41" max="2" man="1"/>
  </rowBreaks>
  <colBreaks count="1" manualBreakCount="1">
    <brk id="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CC"/>
  </sheetPr>
  <dimension ref="A1:R2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8515625" style="278" customWidth="1"/>
    <col min="2" max="3" width="7.7109375" style="278" customWidth="1"/>
    <col min="4" max="4" width="70.7109375" style="279" customWidth="1"/>
    <col min="5" max="6" width="7.7109375" style="280" customWidth="1"/>
    <col min="7" max="7" width="14.8515625" style="280" customWidth="1"/>
    <col min="8" max="8" width="17.8515625" style="280" customWidth="1"/>
    <col min="9" max="9" width="13.7109375" style="277" customWidth="1"/>
    <col min="10" max="11" width="13.7109375" style="280" customWidth="1"/>
    <col min="12" max="13" width="13.7109375" style="278" customWidth="1"/>
    <col min="14" max="15" width="13.7109375" style="44" customWidth="1"/>
    <col min="16" max="16" width="19.7109375" style="281" customWidth="1"/>
    <col min="17" max="17" width="10.8515625" style="44" bestFit="1" customWidth="1"/>
    <col min="18" max="16384" width="9.00390625" style="44" customWidth="1"/>
  </cols>
  <sheetData>
    <row r="1" spans="1:16" s="20" customFormat="1" ht="55.5" customHeight="1">
      <c r="A1" s="262"/>
      <c r="B1" s="263"/>
      <c r="C1" s="264"/>
      <c r="D1" s="264"/>
      <c r="O1" s="966" t="s">
        <v>368</v>
      </c>
      <c r="P1" s="966"/>
    </row>
    <row r="2" spans="1:16" s="20" customFormat="1" ht="26.25">
      <c r="A2" s="997" t="s">
        <v>132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8"/>
    </row>
    <row r="3" spans="1:16" s="20" customFormat="1" ht="15.75" customHeight="1" thickBot="1">
      <c r="A3" s="993"/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4"/>
    </row>
    <row r="4" spans="1:16" s="729" customFormat="1" ht="15.75" customHeight="1">
      <c r="A4" s="999" t="s">
        <v>7</v>
      </c>
      <c r="B4" s="987" t="s">
        <v>0</v>
      </c>
      <c r="C4" s="987" t="s">
        <v>20</v>
      </c>
      <c r="D4" s="987" t="s">
        <v>21</v>
      </c>
      <c r="E4" s="1010" t="s">
        <v>22</v>
      </c>
      <c r="F4" s="1011"/>
      <c r="G4" s="987" t="s">
        <v>23</v>
      </c>
      <c r="H4" s="1010" t="s">
        <v>24</v>
      </c>
      <c r="I4" s="1016" t="s">
        <v>25</v>
      </c>
      <c r="J4" s="1017"/>
      <c r="K4" s="1017"/>
      <c r="L4" s="1017"/>
      <c r="M4" s="1017"/>
      <c r="N4" s="1017"/>
      <c r="O4" s="1017"/>
      <c r="P4" s="1013" t="s">
        <v>26</v>
      </c>
    </row>
    <row r="5" spans="1:16" s="729" customFormat="1" ht="15.75" customHeight="1">
      <c r="A5" s="1000"/>
      <c r="B5" s="988"/>
      <c r="C5" s="988"/>
      <c r="D5" s="988"/>
      <c r="E5" s="1002"/>
      <c r="F5" s="1012"/>
      <c r="G5" s="988"/>
      <c r="H5" s="988"/>
      <c r="I5" s="988" t="s">
        <v>133</v>
      </c>
      <c r="J5" s="988" t="s">
        <v>134</v>
      </c>
      <c r="K5" s="1002" t="s">
        <v>27</v>
      </c>
      <c r="L5" s="1003"/>
      <c r="M5" s="1003"/>
      <c r="N5" s="1003"/>
      <c r="O5" s="1003"/>
      <c r="P5" s="1014"/>
    </row>
    <row r="6" spans="1:16" s="729" customFormat="1" ht="31.5" customHeight="1" thickBot="1">
      <c r="A6" s="1001"/>
      <c r="B6" s="989"/>
      <c r="C6" s="989"/>
      <c r="D6" s="989"/>
      <c r="E6" s="45" t="s">
        <v>28</v>
      </c>
      <c r="F6" s="45" t="s">
        <v>29</v>
      </c>
      <c r="G6" s="989"/>
      <c r="H6" s="1004"/>
      <c r="I6" s="1004"/>
      <c r="J6" s="1004"/>
      <c r="K6" s="46">
        <v>2010</v>
      </c>
      <c r="L6" s="47">
        <v>2011</v>
      </c>
      <c r="M6" s="47">
        <v>2012</v>
      </c>
      <c r="N6" s="47">
        <v>2013</v>
      </c>
      <c r="O6" s="48" t="s">
        <v>135</v>
      </c>
      <c r="P6" s="1015"/>
    </row>
    <row r="7" spans="1:16" s="729" customFormat="1" ht="15.75" thickBot="1">
      <c r="A7" s="49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  <c r="G7" s="51">
        <v>7</v>
      </c>
      <c r="H7" s="52">
        <v>8</v>
      </c>
      <c r="I7" s="51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3">
        <v>15</v>
      </c>
      <c r="P7" s="54">
        <v>16</v>
      </c>
    </row>
    <row r="8" spans="1:16" s="729" customFormat="1" ht="17.25" customHeight="1" thickBot="1" thickTop="1">
      <c r="A8" s="1009" t="s">
        <v>30</v>
      </c>
      <c r="B8" s="1006"/>
      <c r="C8" s="1006"/>
      <c r="D8" s="1006"/>
      <c r="E8" s="1006"/>
      <c r="F8" s="1006"/>
      <c r="G8" s="1006"/>
      <c r="H8" s="55">
        <f>SUM(I8:O8)</f>
        <v>621350</v>
      </c>
      <c r="I8" s="56">
        <f>SUM(I10)</f>
        <v>21350</v>
      </c>
      <c r="J8" s="56">
        <f aca="true" t="shared" si="0" ref="J8:O8">SUM(J10)</f>
        <v>100000</v>
      </c>
      <c r="K8" s="56">
        <f t="shared" si="0"/>
        <v>500000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7"/>
    </row>
    <row r="9" spans="1:16" s="729" customFormat="1" ht="17.25" customHeight="1">
      <c r="A9" s="1007">
        <v>1</v>
      </c>
      <c r="B9" s="995">
        <v>400</v>
      </c>
      <c r="C9" s="995">
        <v>40002</v>
      </c>
      <c r="D9" s="59" t="s">
        <v>31</v>
      </c>
      <c r="E9" s="995">
        <v>2008</v>
      </c>
      <c r="F9" s="995">
        <v>2010</v>
      </c>
      <c r="G9" s="990" t="s">
        <v>32</v>
      </c>
      <c r="H9" s="61"/>
      <c r="I9" s="62"/>
      <c r="J9" s="62"/>
      <c r="K9" s="62"/>
      <c r="L9" s="62"/>
      <c r="M9" s="63"/>
      <c r="N9" s="63"/>
      <c r="O9" s="64"/>
      <c r="P9" s="65"/>
    </row>
    <row r="10" spans="1:16" s="729" customFormat="1" ht="17.25" customHeight="1">
      <c r="A10" s="1008"/>
      <c r="B10" s="996"/>
      <c r="C10" s="996"/>
      <c r="D10" s="66" t="s">
        <v>33</v>
      </c>
      <c r="E10" s="996"/>
      <c r="F10" s="996"/>
      <c r="G10" s="991"/>
      <c r="H10" s="67">
        <f>SUM(I10:O10)</f>
        <v>621350</v>
      </c>
      <c r="I10" s="68">
        <f>SUM(I11:I11)</f>
        <v>21350</v>
      </c>
      <c r="J10" s="68">
        <f>SUM(J11:J11)</f>
        <v>100000</v>
      </c>
      <c r="K10" s="68">
        <f>SUM(K11:K11)</f>
        <v>500000</v>
      </c>
      <c r="L10" s="68"/>
      <c r="M10" s="68"/>
      <c r="N10" s="69"/>
      <c r="O10" s="70"/>
      <c r="P10" s="65"/>
    </row>
    <row r="11" spans="1:16" s="729" customFormat="1" ht="17.25" customHeight="1" thickBot="1">
      <c r="A11" s="1008"/>
      <c r="B11" s="996"/>
      <c r="C11" s="996"/>
      <c r="D11" s="71" t="s">
        <v>34</v>
      </c>
      <c r="E11" s="996"/>
      <c r="F11" s="996"/>
      <c r="G11" s="991"/>
      <c r="H11" s="72">
        <f>SUM(I11:O11)</f>
        <v>621350</v>
      </c>
      <c r="I11" s="74">
        <v>21350</v>
      </c>
      <c r="J11" s="74">
        <v>100000</v>
      </c>
      <c r="K11" s="74">
        <v>500000</v>
      </c>
      <c r="L11" s="75"/>
      <c r="M11" s="75"/>
      <c r="N11" s="69"/>
      <c r="O11" s="70"/>
      <c r="P11" s="65"/>
    </row>
    <row r="12" spans="1:16" s="79" customFormat="1" ht="17.25" customHeight="1" thickBot="1" thickTop="1">
      <c r="A12" s="1005" t="s">
        <v>35</v>
      </c>
      <c r="B12" s="1006"/>
      <c r="C12" s="1006"/>
      <c r="D12" s="1006"/>
      <c r="E12" s="1006"/>
      <c r="F12" s="1006"/>
      <c r="G12" s="1006"/>
      <c r="H12" s="55">
        <f>SUM(I12:O12)</f>
        <v>19144672</v>
      </c>
      <c r="I12" s="77">
        <f>SUM(I14,I22,I18,I26)</f>
        <v>259672</v>
      </c>
      <c r="J12" s="77">
        <f>SUM(J14,J22,J18,J26)</f>
        <v>5365000</v>
      </c>
      <c r="K12" s="77">
        <f>SUM(K14,K22,K18,K26)</f>
        <v>5670000</v>
      </c>
      <c r="L12" s="77">
        <f>SUM(L14,L22,L18,L26)</f>
        <v>4150000</v>
      </c>
      <c r="M12" s="77">
        <f>SUM(M14,M22,M18,M26)</f>
        <v>3700000</v>
      </c>
      <c r="N12" s="77">
        <f>SUM(N14,N22,N18,N26)</f>
        <v>0</v>
      </c>
      <c r="O12" s="77">
        <f>SUM(O14,O22,O18,O26)</f>
        <v>0</v>
      </c>
      <c r="P12" s="78"/>
    </row>
    <row r="13" spans="1:16" s="79" customFormat="1" ht="15.75">
      <c r="A13" s="1007">
        <v>2</v>
      </c>
      <c r="B13" s="995">
        <v>600</v>
      </c>
      <c r="C13" s="995">
        <v>60013</v>
      </c>
      <c r="D13" s="59" t="s">
        <v>36</v>
      </c>
      <c r="E13" s="995">
        <v>2006</v>
      </c>
      <c r="F13" s="995">
        <v>2010</v>
      </c>
      <c r="G13" s="990" t="s">
        <v>37</v>
      </c>
      <c r="H13" s="84"/>
      <c r="I13" s="85"/>
      <c r="J13" s="62"/>
      <c r="K13" s="62"/>
      <c r="L13" s="63"/>
      <c r="M13" s="63"/>
      <c r="N13" s="63"/>
      <c r="O13" s="64"/>
      <c r="P13" s="86"/>
    </row>
    <row r="14" spans="1:16" s="79" customFormat="1" ht="15.75">
      <c r="A14" s="1008"/>
      <c r="B14" s="996"/>
      <c r="C14" s="996"/>
      <c r="D14" s="66" t="s">
        <v>33</v>
      </c>
      <c r="E14" s="996"/>
      <c r="F14" s="996"/>
      <c r="G14" s="991"/>
      <c r="H14" s="87">
        <f>SUM(I14:O14)</f>
        <v>2709962</v>
      </c>
      <c r="I14" s="87">
        <f>SUM(I15:I16)</f>
        <v>69962</v>
      </c>
      <c r="J14" s="87"/>
      <c r="K14" s="87">
        <f>SUM(K15:K16)</f>
        <v>2640000</v>
      </c>
      <c r="L14" s="87"/>
      <c r="M14" s="75"/>
      <c r="N14" s="75"/>
      <c r="O14" s="88"/>
      <c r="P14" s="65"/>
    </row>
    <row r="15" spans="1:16" s="79" customFormat="1" ht="15">
      <c r="A15" s="1008"/>
      <c r="B15" s="996"/>
      <c r="C15" s="996"/>
      <c r="D15" s="71" t="s">
        <v>34</v>
      </c>
      <c r="E15" s="996"/>
      <c r="F15" s="996"/>
      <c r="G15" s="991"/>
      <c r="H15" s="89">
        <f>SUM(I15:O15)</f>
        <v>465962</v>
      </c>
      <c r="I15" s="73">
        <v>69962</v>
      </c>
      <c r="J15" s="74"/>
      <c r="K15" s="75">
        <v>396000</v>
      </c>
      <c r="L15" s="75"/>
      <c r="M15" s="75"/>
      <c r="N15" s="75"/>
      <c r="O15" s="88"/>
      <c r="P15" s="265"/>
    </row>
    <row r="16" spans="1:16" s="79" customFormat="1" ht="15.75" thickBot="1">
      <c r="A16" s="1023"/>
      <c r="B16" s="1020"/>
      <c r="C16" s="1020"/>
      <c r="D16" s="90" t="s">
        <v>38</v>
      </c>
      <c r="E16" s="1020"/>
      <c r="F16" s="1020"/>
      <c r="G16" s="992"/>
      <c r="H16" s="89">
        <f>SUM(I16:O16)</f>
        <v>2244000</v>
      </c>
      <c r="I16" s="91"/>
      <c r="J16" s="92"/>
      <c r="K16" s="93">
        <v>2244000</v>
      </c>
      <c r="L16" s="93"/>
      <c r="M16" s="93"/>
      <c r="N16" s="93"/>
      <c r="O16" s="94"/>
      <c r="P16" s="266">
        <v>0.85</v>
      </c>
    </row>
    <row r="17" spans="1:16" s="79" customFormat="1" ht="15.75">
      <c r="A17" s="1007">
        <v>3</v>
      </c>
      <c r="B17" s="995">
        <v>600</v>
      </c>
      <c r="C17" s="1037">
        <v>60014</v>
      </c>
      <c r="D17" s="59" t="s">
        <v>39</v>
      </c>
      <c r="E17" s="995">
        <v>2003</v>
      </c>
      <c r="F17" s="995">
        <v>2009</v>
      </c>
      <c r="G17" s="990" t="s">
        <v>44</v>
      </c>
      <c r="H17" s="96"/>
      <c r="I17" s="85"/>
      <c r="J17" s="62"/>
      <c r="K17" s="62"/>
      <c r="L17" s="63"/>
      <c r="M17" s="63"/>
      <c r="N17" s="63"/>
      <c r="O17" s="64"/>
      <c r="P17" s="65"/>
    </row>
    <row r="18" spans="1:16" s="79" customFormat="1" ht="15.75">
      <c r="A18" s="1008"/>
      <c r="B18" s="996"/>
      <c r="C18" s="1038"/>
      <c r="D18" s="66" t="s">
        <v>33</v>
      </c>
      <c r="E18" s="996"/>
      <c r="F18" s="996"/>
      <c r="G18" s="991"/>
      <c r="H18" s="67">
        <f>SUM(I18:O18)</f>
        <v>5376860</v>
      </c>
      <c r="I18" s="68">
        <f>SUM(I19:I20)</f>
        <v>76860</v>
      </c>
      <c r="J18" s="68">
        <f>SUM(J19:J20)</f>
        <v>5300000</v>
      </c>
      <c r="K18" s="68"/>
      <c r="L18" s="68"/>
      <c r="M18" s="75"/>
      <c r="N18" s="75"/>
      <c r="O18" s="88"/>
      <c r="P18" s="65"/>
    </row>
    <row r="19" spans="1:16" s="79" customFormat="1" ht="15">
      <c r="A19" s="1008"/>
      <c r="B19" s="996"/>
      <c r="C19" s="1038"/>
      <c r="D19" s="97" t="s">
        <v>34</v>
      </c>
      <c r="E19" s="996"/>
      <c r="F19" s="996"/>
      <c r="G19" s="991"/>
      <c r="H19" s="89">
        <f>SUM(I19:O19)</f>
        <v>1766249</v>
      </c>
      <c r="I19" s="73">
        <v>76860</v>
      </c>
      <c r="J19" s="74">
        <v>1689389</v>
      </c>
      <c r="K19" s="75"/>
      <c r="L19" s="75"/>
      <c r="M19" s="75"/>
      <c r="N19" s="75"/>
      <c r="O19" s="88"/>
      <c r="P19" s="65"/>
    </row>
    <row r="20" spans="1:16" s="79" customFormat="1" ht="15.75" thickBot="1">
      <c r="A20" s="1023"/>
      <c r="B20" s="1020"/>
      <c r="C20" s="1039"/>
      <c r="D20" s="98" t="s">
        <v>40</v>
      </c>
      <c r="E20" s="1020"/>
      <c r="F20" s="1020"/>
      <c r="G20" s="992"/>
      <c r="H20" s="107">
        <f>SUM(I20:O20)</f>
        <v>3610611</v>
      </c>
      <c r="I20" s="91"/>
      <c r="J20" s="92">
        <v>3610611</v>
      </c>
      <c r="K20" s="93"/>
      <c r="L20" s="93"/>
      <c r="M20" s="93"/>
      <c r="N20" s="93"/>
      <c r="O20" s="94"/>
      <c r="P20" s="266">
        <v>0.5</v>
      </c>
    </row>
    <row r="21" spans="1:16" s="79" customFormat="1" ht="31.5">
      <c r="A21" s="1034">
        <v>4</v>
      </c>
      <c r="B21" s="1031">
        <v>600</v>
      </c>
      <c r="C21" s="1040">
        <v>60016</v>
      </c>
      <c r="D21" s="59" t="s">
        <v>297</v>
      </c>
      <c r="E21" s="1031">
        <v>2008</v>
      </c>
      <c r="F21" s="1031">
        <v>2012</v>
      </c>
      <c r="G21" s="1031" t="s">
        <v>333</v>
      </c>
      <c r="H21" s="89"/>
      <c r="I21" s="73"/>
      <c r="J21" s="74"/>
      <c r="K21" s="75"/>
      <c r="L21" s="75"/>
      <c r="M21" s="75"/>
      <c r="N21" s="75"/>
      <c r="O21" s="88"/>
      <c r="P21" s="265"/>
    </row>
    <row r="22" spans="1:16" s="79" customFormat="1" ht="15.75">
      <c r="A22" s="1008"/>
      <c r="B22" s="996"/>
      <c r="C22" s="1038"/>
      <c r="D22" s="66" t="s">
        <v>33</v>
      </c>
      <c r="E22" s="996"/>
      <c r="F22" s="996"/>
      <c r="G22" s="996"/>
      <c r="H22" s="67">
        <f>SUM(I22:O22)</f>
        <v>7992850</v>
      </c>
      <c r="I22" s="730">
        <f>SUM(I23:I24)</f>
        <v>112850</v>
      </c>
      <c r="J22" s="730"/>
      <c r="K22" s="730">
        <f>SUM(K23:K24)</f>
        <v>30000</v>
      </c>
      <c r="L22" s="730">
        <f>SUM(L23:L24)</f>
        <v>4150000</v>
      </c>
      <c r="M22" s="730">
        <f>SUM(M23:M24)</f>
        <v>3700000</v>
      </c>
      <c r="N22" s="75"/>
      <c r="O22" s="88"/>
      <c r="P22" s="265"/>
    </row>
    <row r="23" spans="1:16" s="79" customFormat="1" ht="15">
      <c r="A23" s="1008"/>
      <c r="B23" s="996"/>
      <c r="C23" s="1038"/>
      <c r="D23" s="97" t="s">
        <v>34</v>
      </c>
      <c r="E23" s="996"/>
      <c r="F23" s="996"/>
      <c r="G23" s="996"/>
      <c r="H23" s="89">
        <f>SUM(I23:O23)</f>
        <v>4167850</v>
      </c>
      <c r="I23" s="73">
        <v>112850</v>
      </c>
      <c r="J23" s="74"/>
      <c r="K23" s="75">
        <v>30000</v>
      </c>
      <c r="L23" s="75">
        <v>2125000</v>
      </c>
      <c r="M23" s="75">
        <v>1900000</v>
      </c>
      <c r="N23" s="75"/>
      <c r="O23" s="88"/>
      <c r="P23" s="265"/>
    </row>
    <row r="24" spans="1:16" s="79" customFormat="1" ht="15.75" thickBot="1">
      <c r="A24" s="1023"/>
      <c r="B24" s="1020"/>
      <c r="C24" s="1039"/>
      <c r="D24" s="98" t="s">
        <v>38</v>
      </c>
      <c r="E24" s="1020"/>
      <c r="F24" s="1020"/>
      <c r="G24" s="1020"/>
      <c r="H24" s="89">
        <f>SUM(I24:O24)</f>
        <v>3825000</v>
      </c>
      <c r="I24" s="73"/>
      <c r="J24" s="74"/>
      <c r="K24" s="75"/>
      <c r="L24" s="75">
        <v>2025000</v>
      </c>
      <c r="M24" s="75">
        <v>1800000</v>
      </c>
      <c r="N24" s="75"/>
      <c r="O24" s="88"/>
      <c r="P24" s="266">
        <v>0.5</v>
      </c>
    </row>
    <row r="25" spans="1:16" s="20" customFormat="1" ht="15.75">
      <c r="A25" s="1007">
        <v>5</v>
      </c>
      <c r="B25" s="995">
        <v>600</v>
      </c>
      <c r="C25" s="1037">
        <v>60016</v>
      </c>
      <c r="D25" s="59" t="s">
        <v>298</v>
      </c>
      <c r="E25" s="995">
        <v>2009</v>
      </c>
      <c r="F25" s="995">
        <v>2010</v>
      </c>
      <c r="G25" s="990" t="s">
        <v>44</v>
      </c>
      <c r="H25" s="96"/>
      <c r="I25" s="85"/>
      <c r="J25" s="62"/>
      <c r="K25" s="62"/>
      <c r="L25" s="63"/>
      <c r="M25" s="63"/>
      <c r="N25" s="63"/>
      <c r="O25" s="64"/>
      <c r="P25" s="65"/>
    </row>
    <row r="26" spans="1:16" s="20" customFormat="1" ht="15.75">
      <c r="A26" s="1008"/>
      <c r="B26" s="996"/>
      <c r="C26" s="1038"/>
      <c r="D26" s="66" t="s">
        <v>33</v>
      </c>
      <c r="E26" s="996"/>
      <c r="F26" s="996"/>
      <c r="G26" s="991"/>
      <c r="H26" s="67">
        <f>SUM(I26:O26)</f>
        <v>3065000</v>
      </c>
      <c r="I26" s="68"/>
      <c r="J26" s="68">
        <f>SUM(J27:J28)</f>
        <v>65000</v>
      </c>
      <c r="K26" s="68">
        <f>SUM(K27:K28)</f>
        <v>3000000</v>
      </c>
      <c r="L26" s="68"/>
      <c r="M26" s="75"/>
      <c r="N26" s="75"/>
      <c r="O26" s="88"/>
      <c r="P26" s="65"/>
    </row>
    <row r="27" spans="1:16" s="20" customFormat="1" ht="15">
      <c r="A27" s="1008"/>
      <c r="B27" s="996"/>
      <c r="C27" s="1038"/>
      <c r="D27" s="97" t="s">
        <v>34</v>
      </c>
      <c r="E27" s="996"/>
      <c r="F27" s="996"/>
      <c r="G27" s="991"/>
      <c r="H27" s="89">
        <f>SUM(I27:O27)</f>
        <v>1765000</v>
      </c>
      <c r="I27" s="73"/>
      <c r="J27" s="89">
        <v>65000</v>
      </c>
      <c r="K27" s="75">
        <v>1700000</v>
      </c>
      <c r="L27" s="75"/>
      <c r="M27" s="75"/>
      <c r="N27" s="75"/>
      <c r="O27" s="88"/>
      <c r="P27" s="65"/>
    </row>
    <row r="28" spans="1:16" s="20" customFormat="1" ht="15.75" thickBot="1">
      <c r="A28" s="1023"/>
      <c r="B28" s="1020"/>
      <c r="C28" s="1039"/>
      <c r="D28" s="98" t="s">
        <v>40</v>
      </c>
      <c r="E28" s="1020"/>
      <c r="F28" s="1020"/>
      <c r="G28" s="992"/>
      <c r="H28" s="89">
        <f>SUM(I28:O28)</f>
        <v>1300000</v>
      </c>
      <c r="I28" s="91"/>
      <c r="J28" s="92"/>
      <c r="K28" s="93">
        <v>1300000</v>
      </c>
      <c r="L28" s="93"/>
      <c r="M28" s="93"/>
      <c r="N28" s="93"/>
      <c r="O28" s="94"/>
      <c r="P28" s="265">
        <v>0.5</v>
      </c>
    </row>
    <row r="29" spans="1:16" s="20" customFormat="1" ht="17.25" customHeight="1" thickBot="1" thickTop="1">
      <c r="A29" s="1005" t="s">
        <v>41</v>
      </c>
      <c r="B29" s="1006"/>
      <c r="C29" s="1006"/>
      <c r="D29" s="1006"/>
      <c r="E29" s="1006"/>
      <c r="F29" s="1006"/>
      <c r="G29" s="1006"/>
      <c r="H29" s="55">
        <f>SUM(I29:O29)</f>
        <v>10325000</v>
      </c>
      <c r="I29" s="109">
        <f>SUM(I31,I35)</f>
        <v>0</v>
      </c>
      <c r="J29" s="109">
        <f>SUM(J31,J35)</f>
        <v>115000</v>
      </c>
      <c r="K29" s="109">
        <f>SUM(K31,K35)</f>
        <v>1450000</v>
      </c>
      <c r="L29" s="109">
        <f>SUM(L31,L35)</f>
        <v>4750000</v>
      </c>
      <c r="M29" s="109">
        <f>SUM(M31,M35)</f>
        <v>4010000</v>
      </c>
      <c r="N29" s="109">
        <f>SUM(N31,N35)</f>
        <v>0</v>
      </c>
      <c r="O29" s="109">
        <f>SUM(O31,O35)</f>
        <v>0</v>
      </c>
      <c r="P29" s="57"/>
    </row>
    <row r="30" spans="1:16" s="20" customFormat="1" ht="30.75" customHeight="1">
      <c r="A30" s="1007">
        <v>6</v>
      </c>
      <c r="B30" s="995">
        <v>630</v>
      </c>
      <c r="C30" s="995">
        <v>63003</v>
      </c>
      <c r="D30" s="731" t="s">
        <v>42</v>
      </c>
      <c r="E30" s="995">
        <v>2009</v>
      </c>
      <c r="F30" s="995">
        <v>2012</v>
      </c>
      <c r="G30" s="990" t="s">
        <v>32</v>
      </c>
      <c r="H30" s="61"/>
      <c r="I30" s="85"/>
      <c r="J30" s="62"/>
      <c r="K30" s="62"/>
      <c r="L30" s="62"/>
      <c r="M30" s="63"/>
      <c r="N30" s="63"/>
      <c r="O30" s="64"/>
      <c r="P30" s="86"/>
    </row>
    <row r="31" spans="1:16" s="20" customFormat="1" ht="17.25" customHeight="1">
      <c r="A31" s="1008"/>
      <c r="B31" s="996"/>
      <c r="C31" s="996"/>
      <c r="D31" s="66" t="s">
        <v>33</v>
      </c>
      <c r="E31" s="1021"/>
      <c r="F31" s="1021"/>
      <c r="G31" s="1018"/>
      <c r="H31" s="87">
        <f>SUM(I31:O31)</f>
        <v>9050000</v>
      </c>
      <c r="I31" s="110"/>
      <c r="J31" s="110">
        <f>SUM(J32:J33)</f>
        <v>40000</v>
      </c>
      <c r="K31" s="110">
        <f>SUM(K32:K33)</f>
        <v>250000</v>
      </c>
      <c r="L31" s="110">
        <f>SUM(L32:L33)</f>
        <v>4750000</v>
      </c>
      <c r="M31" s="110">
        <f>SUM(M32:M33)</f>
        <v>4010000</v>
      </c>
      <c r="N31" s="110"/>
      <c r="O31" s="70"/>
      <c r="P31" s="65"/>
    </row>
    <row r="32" spans="1:16" s="20" customFormat="1" ht="17.25" customHeight="1">
      <c r="A32" s="1008"/>
      <c r="B32" s="996"/>
      <c r="C32" s="996"/>
      <c r="D32" s="71" t="s">
        <v>34</v>
      </c>
      <c r="E32" s="996"/>
      <c r="F32" s="996"/>
      <c r="G32" s="991"/>
      <c r="H32" s="89">
        <f>SUM(I32:O32)</f>
        <v>1400000</v>
      </c>
      <c r="I32" s="732"/>
      <c r="J32" s="733">
        <v>40000</v>
      </c>
      <c r="K32" s="732">
        <v>37500</v>
      </c>
      <c r="L32" s="732">
        <v>712500</v>
      </c>
      <c r="M32" s="732">
        <v>610000</v>
      </c>
      <c r="N32" s="75"/>
      <c r="O32" s="734"/>
      <c r="P32" s="65"/>
    </row>
    <row r="33" spans="1:16" s="20" customFormat="1" ht="17.25" customHeight="1" thickBot="1">
      <c r="A33" s="1023"/>
      <c r="B33" s="1020"/>
      <c r="C33" s="1020"/>
      <c r="D33" s="90" t="s">
        <v>38</v>
      </c>
      <c r="E33" s="1020"/>
      <c r="F33" s="1020"/>
      <c r="G33" s="992"/>
      <c r="H33" s="107">
        <f>SUM(I33:O33)</f>
        <v>7650000</v>
      </c>
      <c r="I33" s="282"/>
      <c r="J33" s="283"/>
      <c r="K33" s="283">
        <v>212500</v>
      </c>
      <c r="L33" s="283">
        <v>4037500</v>
      </c>
      <c r="M33" s="283">
        <v>3400000</v>
      </c>
      <c r="N33" s="93"/>
      <c r="O33" s="118"/>
      <c r="P33" s="266">
        <v>0.85</v>
      </c>
    </row>
    <row r="34" spans="1:16" s="20" customFormat="1" ht="31.5">
      <c r="A34" s="1029">
        <v>7</v>
      </c>
      <c r="B34" s="1021">
        <v>630</v>
      </c>
      <c r="C34" s="1021">
        <v>63003</v>
      </c>
      <c r="D34" s="108" t="s">
        <v>151</v>
      </c>
      <c r="E34" s="1021">
        <v>2009</v>
      </c>
      <c r="F34" s="1021">
        <v>2010</v>
      </c>
      <c r="G34" s="1021" t="s">
        <v>152</v>
      </c>
      <c r="H34" s="644"/>
      <c r="I34" s="106"/>
      <c r="J34" s="106"/>
      <c r="K34" s="106"/>
      <c r="L34" s="106"/>
      <c r="M34" s="106"/>
      <c r="N34" s="106"/>
      <c r="O34" s="284"/>
      <c r="P34" s="271"/>
    </row>
    <row r="35" spans="1:16" s="20" customFormat="1" ht="15.75">
      <c r="A35" s="1008"/>
      <c r="B35" s="996"/>
      <c r="C35" s="996"/>
      <c r="D35" s="66" t="s">
        <v>33</v>
      </c>
      <c r="E35" s="1021"/>
      <c r="F35" s="1021"/>
      <c r="G35" s="1021"/>
      <c r="H35" s="87">
        <f>SUM(H36:H37)</f>
        <v>1275000</v>
      </c>
      <c r="I35" s="87"/>
      <c r="J35" s="87">
        <f>SUM(J36:J37)</f>
        <v>75000</v>
      </c>
      <c r="K35" s="87">
        <f>SUM(K36:K37)</f>
        <v>1200000</v>
      </c>
      <c r="L35" s="153"/>
      <c r="M35" s="153"/>
      <c r="N35" s="153"/>
      <c r="O35" s="154"/>
      <c r="P35" s="271"/>
    </row>
    <row r="36" spans="1:16" s="20" customFormat="1" ht="15">
      <c r="A36" s="1008"/>
      <c r="B36" s="996"/>
      <c r="C36" s="996"/>
      <c r="D36" s="97" t="s">
        <v>34</v>
      </c>
      <c r="E36" s="1021"/>
      <c r="F36" s="1021"/>
      <c r="G36" s="1021"/>
      <c r="H36" s="124">
        <f>SUM(I36:O36)</f>
        <v>675000</v>
      </c>
      <c r="I36" s="74"/>
      <c r="J36" s="74">
        <v>75000</v>
      </c>
      <c r="K36" s="74">
        <v>600000</v>
      </c>
      <c r="L36" s="153"/>
      <c r="M36" s="153"/>
      <c r="N36" s="153"/>
      <c r="O36" s="154"/>
      <c r="P36" s="271"/>
    </row>
    <row r="37" spans="1:16" s="20" customFormat="1" ht="15.75" thickBot="1">
      <c r="A37" s="1041"/>
      <c r="B37" s="1042"/>
      <c r="C37" s="1042"/>
      <c r="D37" s="146" t="s">
        <v>38</v>
      </c>
      <c r="E37" s="1043"/>
      <c r="F37" s="1043"/>
      <c r="G37" s="1043"/>
      <c r="H37" s="147">
        <f>SUM(I37:O37)</f>
        <v>600000</v>
      </c>
      <c r="I37" s="148"/>
      <c r="J37" s="148"/>
      <c r="K37" s="148">
        <v>600000</v>
      </c>
      <c r="L37" s="148"/>
      <c r="M37" s="148"/>
      <c r="N37" s="148"/>
      <c r="O37" s="149"/>
      <c r="P37" s="272">
        <v>0.5</v>
      </c>
    </row>
    <row r="38" spans="1:16" s="79" customFormat="1" ht="17.25" customHeight="1" thickBot="1" thickTop="1">
      <c r="A38" s="1005" t="s">
        <v>43</v>
      </c>
      <c r="B38" s="1006"/>
      <c r="C38" s="1006"/>
      <c r="D38" s="1006"/>
      <c r="E38" s="1006"/>
      <c r="F38" s="1006"/>
      <c r="G38" s="1006"/>
      <c r="H38" s="55">
        <f>SUM(I38:O38)</f>
        <v>47521852</v>
      </c>
      <c r="I38" s="111">
        <f>SUM(I40,I43)</f>
        <v>3761852</v>
      </c>
      <c r="J38" s="111">
        <f>SUM(J40,J43)</f>
        <v>6500000</v>
      </c>
      <c r="K38" s="111">
        <f>SUM(K40,K43)</f>
        <v>9760000</v>
      </c>
      <c r="L38" s="111">
        <f>SUM(L40,L43)</f>
        <v>9000000</v>
      </c>
      <c r="M38" s="111">
        <f>SUM(M40,M43)</f>
        <v>9000000</v>
      </c>
      <c r="N38" s="111">
        <f>SUM(N40,N43)</f>
        <v>9500000</v>
      </c>
      <c r="O38" s="111">
        <f>SUM(O40,O43)</f>
        <v>0</v>
      </c>
      <c r="P38" s="78"/>
    </row>
    <row r="39" spans="1:16" s="79" customFormat="1" ht="47.25">
      <c r="A39" s="1007">
        <v>8</v>
      </c>
      <c r="B39" s="995">
        <v>700</v>
      </c>
      <c r="C39" s="995">
        <v>70095</v>
      </c>
      <c r="D39" s="59" t="s">
        <v>345</v>
      </c>
      <c r="E39" s="995">
        <v>2004</v>
      </c>
      <c r="F39" s="995">
        <v>2013</v>
      </c>
      <c r="G39" s="990" t="s">
        <v>44</v>
      </c>
      <c r="H39" s="96"/>
      <c r="I39" s="85"/>
      <c r="J39" s="62"/>
      <c r="K39" s="62"/>
      <c r="L39" s="62"/>
      <c r="M39" s="62"/>
      <c r="N39" s="62"/>
      <c r="O39" s="112"/>
      <c r="P39" s="113"/>
    </row>
    <row r="40" spans="1:16" s="79" customFormat="1" ht="15.75">
      <c r="A40" s="1008"/>
      <c r="B40" s="996"/>
      <c r="C40" s="996"/>
      <c r="D40" s="66" t="s">
        <v>33</v>
      </c>
      <c r="E40" s="1021"/>
      <c r="F40" s="1021"/>
      <c r="G40" s="1018"/>
      <c r="H40" s="87">
        <f>SUM(I40:O40)</f>
        <v>43708953</v>
      </c>
      <c r="I40" s="68">
        <f aca="true" t="shared" si="1" ref="I40:N40">SUM(I41)</f>
        <v>3708953</v>
      </c>
      <c r="J40" s="68">
        <f t="shared" si="1"/>
        <v>5500000</v>
      </c>
      <c r="K40" s="68">
        <f t="shared" si="1"/>
        <v>7000000</v>
      </c>
      <c r="L40" s="68">
        <f t="shared" si="1"/>
        <v>9000000</v>
      </c>
      <c r="M40" s="68">
        <f t="shared" si="1"/>
        <v>9000000</v>
      </c>
      <c r="N40" s="68">
        <f t="shared" si="1"/>
        <v>9500000</v>
      </c>
      <c r="O40" s="68"/>
      <c r="P40" s="113"/>
    </row>
    <row r="41" spans="1:16" s="79" customFormat="1" ht="16.5" thickBot="1">
      <c r="A41" s="1023"/>
      <c r="B41" s="1020"/>
      <c r="C41" s="1020"/>
      <c r="D41" s="71" t="s">
        <v>34</v>
      </c>
      <c r="E41" s="996"/>
      <c r="F41" s="996"/>
      <c r="G41" s="991"/>
      <c r="H41" s="89">
        <f>SUM(I41:O41)</f>
        <v>43708953</v>
      </c>
      <c r="I41" s="74">
        <v>3708953</v>
      </c>
      <c r="J41" s="74">
        <v>5500000</v>
      </c>
      <c r="K41" s="74">
        <v>7000000</v>
      </c>
      <c r="L41" s="74">
        <v>9000000</v>
      </c>
      <c r="M41" s="74">
        <v>9000000</v>
      </c>
      <c r="N41" s="74">
        <v>9500000</v>
      </c>
      <c r="O41" s="73"/>
      <c r="P41" s="113"/>
    </row>
    <row r="42" spans="1:16" s="79" customFormat="1" ht="31.5">
      <c r="A42" s="1007">
        <v>9</v>
      </c>
      <c r="B42" s="995">
        <v>700</v>
      </c>
      <c r="C42" s="995">
        <v>70095</v>
      </c>
      <c r="D42" s="59" t="s">
        <v>45</v>
      </c>
      <c r="E42" s="995">
        <v>2008</v>
      </c>
      <c r="F42" s="995">
        <v>2010</v>
      </c>
      <c r="G42" s="990" t="s">
        <v>44</v>
      </c>
      <c r="H42" s="96"/>
      <c r="I42" s="62"/>
      <c r="J42" s="62"/>
      <c r="K42" s="62"/>
      <c r="L42" s="62"/>
      <c r="M42" s="62"/>
      <c r="N42" s="62"/>
      <c r="O42" s="85"/>
      <c r="P42" s="1025" t="s">
        <v>334</v>
      </c>
    </row>
    <row r="43" spans="1:16" s="79" customFormat="1" ht="15.75">
      <c r="A43" s="1008"/>
      <c r="B43" s="996"/>
      <c r="C43" s="996"/>
      <c r="D43" s="66" t="s">
        <v>33</v>
      </c>
      <c r="E43" s="1021"/>
      <c r="F43" s="1021"/>
      <c r="G43" s="1018"/>
      <c r="H43" s="87">
        <f>SUM(I43:O43)</f>
        <v>3812899</v>
      </c>
      <c r="I43" s="87">
        <f>SUM(I44:I45)</f>
        <v>52899</v>
      </c>
      <c r="J43" s="87">
        <f>SUM(J44:J45)</f>
        <v>1000000</v>
      </c>
      <c r="K43" s="87">
        <f>SUM(K44:K45)</f>
        <v>2760000</v>
      </c>
      <c r="L43" s="87"/>
      <c r="M43" s="106"/>
      <c r="N43" s="106"/>
      <c r="O43" s="105"/>
      <c r="P43" s="1026"/>
    </row>
    <row r="44" spans="1:16" s="79" customFormat="1" ht="15.75">
      <c r="A44" s="1008"/>
      <c r="B44" s="996"/>
      <c r="C44" s="996"/>
      <c r="D44" s="97" t="s">
        <v>34</v>
      </c>
      <c r="E44" s="1021"/>
      <c r="F44" s="1021"/>
      <c r="G44" s="1018"/>
      <c r="H44" s="124">
        <f>SUM(I44:O44)</f>
        <v>2861684</v>
      </c>
      <c r="I44" s="74">
        <v>52899</v>
      </c>
      <c r="J44" s="74">
        <v>600768</v>
      </c>
      <c r="K44" s="74">
        <v>2208017</v>
      </c>
      <c r="L44" s="87"/>
      <c r="M44" s="106"/>
      <c r="N44" s="106"/>
      <c r="O44" s="105"/>
      <c r="P44" s="1026"/>
    </row>
    <row r="45" spans="1:16" s="79" customFormat="1" ht="17.25" customHeight="1" thickBot="1">
      <c r="A45" s="1023"/>
      <c r="B45" s="1020"/>
      <c r="C45" s="1020"/>
      <c r="D45" s="90" t="s">
        <v>40</v>
      </c>
      <c r="E45" s="1020"/>
      <c r="F45" s="1020"/>
      <c r="G45" s="992"/>
      <c r="H45" s="142">
        <f>SUM(I45:O45)</f>
        <v>951215</v>
      </c>
      <c r="I45" s="92"/>
      <c r="J45" s="92">
        <v>399232</v>
      </c>
      <c r="K45" s="92">
        <v>551983</v>
      </c>
      <c r="L45" s="92"/>
      <c r="M45" s="101"/>
      <c r="N45" s="101"/>
      <c r="O45" s="735"/>
      <c r="P45" s="1027"/>
    </row>
    <row r="46" spans="1:16" s="79" customFormat="1" ht="18" customHeight="1">
      <c r="A46" s="999" t="s">
        <v>7</v>
      </c>
      <c r="B46" s="987" t="s">
        <v>0</v>
      </c>
      <c r="C46" s="987" t="s">
        <v>20</v>
      </c>
      <c r="D46" s="987" t="s">
        <v>21</v>
      </c>
      <c r="E46" s="1010" t="s">
        <v>22</v>
      </c>
      <c r="F46" s="1011"/>
      <c r="G46" s="987" t="s">
        <v>23</v>
      </c>
      <c r="H46" s="1010" t="s">
        <v>24</v>
      </c>
      <c r="I46" s="1016" t="s">
        <v>25</v>
      </c>
      <c r="J46" s="1017"/>
      <c r="K46" s="1017"/>
      <c r="L46" s="1017"/>
      <c r="M46" s="1017"/>
      <c r="N46" s="1017"/>
      <c r="O46" s="1017"/>
      <c r="P46" s="1013" t="s">
        <v>26</v>
      </c>
    </row>
    <row r="47" spans="1:16" s="79" customFormat="1" ht="16.5" customHeight="1">
      <c r="A47" s="1000"/>
      <c r="B47" s="988"/>
      <c r="C47" s="988"/>
      <c r="D47" s="988"/>
      <c r="E47" s="1002"/>
      <c r="F47" s="1012"/>
      <c r="G47" s="988"/>
      <c r="H47" s="988"/>
      <c r="I47" s="988" t="s">
        <v>133</v>
      </c>
      <c r="J47" s="988" t="s">
        <v>134</v>
      </c>
      <c r="K47" s="1002" t="s">
        <v>27</v>
      </c>
      <c r="L47" s="1003"/>
      <c r="M47" s="1003"/>
      <c r="N47" s="1003"/>
      <c r="O47" s="1003"/>
      <c r="P47" s="1014"/>
    </row>
    <row r="48" spans="1:16" s="79" customFormat="1" ht="33" customHeight="1" thickBot="1">
      <c r="A48" s="1001"/>
      <c r="B48" s="989"/>
      <c r="C48" s="989"/>
      <c r="D48" s="989"/>
      <c r="E48" s="114" t="s">
        <v>28</v>
      </c>
      <c r="F48" s="114" t="s">
        <v>29</v>
      </c>
      <c r="G48" s="989"/>
      <c r="H48" s="1004"/>
      <c r="I48" s="1004"/>
      <c r="J48" s="1004"/>
      <c r="K48" s="115">
        <v>2010</v>
      </c>
      <c r="L48" s="116">
        <v>2011</v>
      </c>
      <c r="M48" s="116">
        <v>2012</v>
      </c>
      <c r="N48" s="116">
        <v>2013</v>
      </c>
      <c r="O48" s="117" t="s">
        <v>135</v>
      </c>
      <c r="P48" s="1015"/>
    </row>
    <row r="49" spans="1:16" s="79" customFormat="1" ht="15" customHeight="1" thickBot="1">
      <c r="A49" s="49">
        <v>1</v>
      </c>
      <c r="B49" s="50">
        <v>2</v>
      </c>
      <c r="C49" s="50">
        <v>3</v>
      </c>
      <c r="D49" s="50">
        <v>4</v>
      </c>
      <c r="E49" s="51">
        <v>5</v>
      </c>
      <c r="F49" s="51">
        <v>6</v>
      </c>
      <c r="G49" s="51">
        <v>7</v>
      </c>
      <c r="H49" s="52">
        <v>8</v>
      </c>
      <c r="I49" s="51">
        <v>9</v>
      </c>
      <c r="J49" s="50">
        <v>10</v>
      </c>
      <c r="K49" s="50">
        <v>11</v>
      </c>
      <c r="L49" s="50">
        <v>12</v>
      </c>
      <c r="M49" s="50">
        <v>13</v>
      </c>
      <c r="N49" s="50">
        <v>14</v>
      </c>
      <c r="O49" s="53">
        <v>15</v>
      </c>
      <c r="P49" s="54">
        <v>16</v>
      </c>
    </row>
    <row r="50" spans="1:16" s="79" customFormat="1" ht="15" customHeight="1" thickBot="1" thickTop="1">
      <c r="A50" s="1005" t="s">
        <v>46</v>
      </c>
      <c r="B50" s="1044"/>
      <c r="C50" s="1044"/>
      <c r="D50" s="1044"/>
      <c r="E50" s="1044"/>
      <c r="F50" s="1044"/>
      <c r="G50" s="1045"/>
      <c r="H50" s="55">
        <f>SUM(I50:O50)</f>
        <v>1365198</v>
      </c>
      <c r="I50" s="56">
        <f>SUM(I52)</f>
        <v>6550</v>
      </c>
      <c r="J50" s="56">
        <f>SUM(J52)</f>
        <v>10297</v>
      </c>
      <c r="K50" s="56">
        <f>SUM(K52)</f>
        <v>1348351</v>
      </c>
      <c r="L50" s="56">
        <f>SUM(L52,L56)</f>
        <v>0</v>
      </c>
      <c r="M50" s="56">
        <f>SUM(M52,M56)</f>
        <v>0</v>
      </c>
      <c r="N50" s="56">
        <f>SUM(N52,N56)</f>
        <v>0</v>
      </c>
      <c r="O50" s="56">
        <f>SUM(O52,O56)</f>
        <v>0</v>
      </c>
      <c r="P50" s="57"/>
    </row>
    <row r="51" spans="1:16" s="79" customFormat="1" ht="15" customHeight="1">
      <c r="A51" s="1007">
        <v>10</v>
      </c>
      <c r="B51" s="995">
        <v>750</v>
      </c>
      <c r="C51" s="995">
        <v>75023</v>
      </c>
      <c r="D51" s="59" t="s">
        <v>299</v>
      </c>
      <c r="E51" s="995">
        <v>2008</v>
      </c>
      <c r="F51" s="995">
        <v>2010</v>
      </c>
      <c r="G51" s="990" t="s">
        <v>47</v>
      </c>
      <c r="H51" s="96"/>
      <c r="I51" s="85"/>
      <c r="J51" s="62"/>
      <c r="K51" s="62"/>
      <c r="L51" s="62"/>
      <c r="M51" s="63"/>
      <c r="N51" s="63"/>
      <c r="O51" s="64"/>
      <c r="P51" s="65"/>
    </row>
    <row r="52" spans="1:16" s="79" customFormat="1" ht="15" customHeight="1">
      <c r="A52" s="1008"/>
      <c r="B52" s="996"/>
      <c r="C52" s="996"/>
      <c r="D52" s="66" t="s">
        <v>33</v>
      </c>
      <c r="E52" s="1021"/>
      <c r="F52" s="1021"/>
      <c r="G52" s="1018"/>
      <c r="H52" s="87">
        <f>SUM(I52:O52)</f>
        <v>1365198</v>
      </c>
      <c r="I52" s="68">
        <f>SUM(I53:I54)</f>
        <v>6550</v>
      </c>
      <c r="J52" s="68">
        <f>SUM(J53:J54)</f>
        <v>10297</v>
      </c>
      <c r="K52" s="68">
        <f>SUM(K53:K54)</f>
        <v>1348351</v>
      </c>
      <c r="L52" s="68"/>
      <c r="M52" s="69"/>
      <c r="N52" s="69"/>
      <c r="O52" s="70"/>
      <c r="P52" s="65"/>
    </row>
    <row r="53" spans="1:16" s="79" customFormat="1" ht="15" customHeight="1">
      <c r="A53" s="1008"/>
      <c r="B53" s="996"/>
      <c r="C53" s="996"/>
      <c r="D53" s="71" t="s">
        <v>34</v>
      </c>
      <c r="E53" s="1021"/>
      <c r="F53" s="1021"/>
      <c r="G53" s="1018"/>
      <c r="H53" s="89">
        <f>SUM(I53:O53)</f>
        <v>204781</v>
      </c>
      <c r="I53" s="74">
        <v>983</v>
      </c>
      <c r="J53" s="74">
        <v>1545</v>
      </c>
      <c r="K53" s="74">
        <v>202253</v>
      </c>
      <c r="L53" s="74"/>
      <c r="M53" s="69"/>
      <c r="N53" s="69"/>
      <c r="O53" s="70"/>
      <c r="P53" s="65"/>
    </row>
    <row r="54" spans="1:16" s="79" customFormat="1" ht="15" customHeight="1" thickBot="1">
      <c r="A54" s="1023"/>
      <c r="B54" s="1020"/>
      <c r="C54" s="1020"/>
      <c r="D54" s="90" t="s">
        <v>38</v>
      </c>
      <c r="E54" s="1022"/>
      <c r="F54" s="1022"/>
      <c r="G54" s="1019"/>
      <c r="H54" s="89">
        <f>SUM(I54:O54)</f>
        <v>1160417</v>
      </c>
      <c r="I54" s="92">
        <v>5567</v>
      </c>
      <c r="J54" s="92">
        <v>8752</v>
      </c>
      <c r="K54" s="92">
        <v>1146098</v>
      </c>
      <c r="L54" s="92"/>
      <c r="M54" s="102"/>
      <c r="N54" s="102"/>
      <c r="O54" s="118"/>
      <c r="P54" s="265">
        <v>0.85</v>
      </c>
    </row>
    <row r="55" spans="1:16" s="20" customFormat="1" ht="17.25" customHeight="1" thickBot="1" thickTop="1">
      <c r="A55" s="1005" t="s">
        <v>48</v>
      </c>
      <c r="B55" s="1044"/>
      <c r="C55" s="1044"/>
      <c r="D55" s="1044"/>
      <c r="E55" s="1044"/>
      <c r="F55" s="1044"/>
      <c r="G55" s="1045"/>
      <c r="H55" s="55">
        <f>SUM(I55:O55)</f>
        <v>1237706</v>
      </c>
      <c r="I55" s="56">
        <f>SUM(I57)</f>
        <v>37706</v>
      </c>
      <c r="J55" s="56">
        <f aca="true" t="shared" si="2" ref="J55:O55">SUM(J57)</f>
        <v>0</v>
      </c>
      <c r="K55" s="56">
        <f t="shared" si="2"/>
        <v>1200000</v>
      </c>
      <c r="L55" s="56">
        <f t="shared" si="2"/>
        <v>0</v>
      </c>
      <c r="M55" s="56">
        <f t="shared" si="2"/>
        <v>0</v>
      </c>
      <c r="N55" s="56">
        <f t="shared" si="2"/>
        <v>0</v>
      </c>
      <c r="O55" s="56">
        <f t="shared" si="2"/>
        <v>0</v>
      </c>
      <c r="P55" s="57"/>
    </row>
    <row r="56" spans="1:16" s="20" customFormat="1" ht="15.75">
      <c r="A56" s="1007">
        <v>11</v>
      </c>
      <c r="B56" s="995">
        <v>754</v>
      </c>
      <c r="C56" s="995">
        <v>75412</v>
      </c>
      <c r="D56" s="59" t="s">
        <v>49</v>
      </c>
      <c r="E56" s="995">
        <v>2004</v>
      </c>
      <c r="F56" s="995">
        <v>2010</v>
      </c>
      <c r="G56" s="990" t="s">
        <v>32</v>
      </c>
      <c r="H56" s="96"/>
      <c r="I56" s="85"/>
      <c r="J56" s="62"/>
      <c r="K56" s="62"/>
      <c r="L56" s="62"/>
      <c r="M56" s="63"/>
      <c r="N56" s="63"/>
      <c r="O56" s="64"/>
      <c r="P56" s="86"/>
    </row>
    <row r="57" spans="1:16" s="20" customFormat="1" ht="15.75">
      <c r="A57" s="1008"/>
      <c r="B57" s="996"/>
      <c r="C57" s="996"/>
      <c r="D57" s="66" t="s">
        <v>33</v>
      </c>
      <c r="E57" s="1021"/>
      <c r="F57" s="1021"/>
      <c r="G57" s="1018"/>
      <c r="H57" s="87">
        <f>SUM(H58:H59)</f>
        <v>1237706</v>
      </c>
      <c r="I57" s="87">
        <f>SUM(I58:I59)</f>
        <v>37706</v>
      </c>
      <c r="J57" s="87"/>
      <c r="K57" s="87">
        <f>SUM(K58:K59)</f>
        <v>1200000</v>
      </c>
      <c r="L57" s="106"/>
      <c r="M57" s="69"/>
      <c r="N57" s="69"/>
      <c r="O57" s="70"/>
      <c r="P57" s="65"/>
    </row>
    <row r="58" spans="1:16" s="20" customFormat="1" ht="15.75">
      <c r="A58" s="1008"/>
      <c r="B58" s="996"/>
      <c r="C58" s="996"/>
      <c r="D58" s="97" t="s">
        <v>34</v>
      </c>
      <c r="E58" s="1021"/>
      <c r="F58" s="1021"/>
      <c r="G58" s="1018"/>
      <c r="H58" s="89">
        <f>SUM(I58:O58)</f>
        <v>718706</v>
      </c>
      <c r="I58" s="73">
        <v>37706</v>
      </c>
      <c r="J58" s="68"/>
      <c r="K58" s="73">
        <v>681000</v>
      </c>
      <c r="L58" s="106"/>
      <c r="M58" s="69"/>
      <c r="N58" s="69"/>
      <c r="O58" s="70"/>
      <c r="P58" s="65"/>
    </row>
    <row r="59" spans="1:16" s="20" customFormat="1" ht="15.75" thickBot="1">
      <c r="A59" s="1023"/>
      <c r="B59" s="1020"/>
      <c r="C59" s="1020"/>
      <c r="D59" s="90" t="s">
        <v>38</v>
      </c>
      <c r="E59" s="1022"/>
      <c r="F59" s="1022"/>
      <c r="G59" s="1019"/>
      <c r="H59" s="107">
        <f>SUM(I59:O59)</f>
        <v>519000</v>
      </c>
      <c r="I59" s="91"/>
      <c r="J59" s="92"/>
      <c r="K59" s="92">
        <v>519000</v>
      </c>
      <c r="L59" s="101"/>
      <c r="M59" s="102"/>
      <c r="N59" s="102"/>
      <c r="O59" s="118"/>
      <c r="P59" s="266">
        <v>0.5</v>
      </c>
    </row>
    <row r="60" spans="1:16" s="79" customFormat="1" ht="17.25" customHeight="1" thickBot="1" thickTop="1">
      <c r="A60" s="1005" t="s">
        <v>50</v>
      </c>
      <c r="B60" s="1006"/>
      <c r="C60" s="1006"/>
      <c r="D60" s="1006"/>
      <c r="E60" s="1006"/>
      <c r="F60" s="1006"/>
      <c r="G60" s="1006"/>
      <c r="H60" s="55">
        <f>SUM(I60:O60)</f>
        <v>36599193</v>
      </c>
      <c r="I60" s="111">
        <f>SUM(I62,I66,I70,I74,I78,I82,I85,I89,I92)</f>
        <v>332013</v>
      </c>
      <c r="J60" s="111">
        <f>SUM(J62,J66,J70,J74,J78,J82,J85,J89,J92)</f>
        <v>853000</v>
      </c>
      <c r="K60" s="111">
        <f>SUM(K62,K66,K70,K74,K78,K82,K85,K89,K92)</f>
        <v>8664180</v>
      </c>
      <c r="L60" s="111">
        <f>SUM(L62,L66,L70,L74,L78,L82,L85,L89,L92)</f>
        <v>1700000</v>
      </c>
      <c r="M60" s="111">
        <f>SUM(M62,M66,M70,M74,M78,M82,M85,M89,M92)</f>
        <v>5400000</v>
      </c>
      <c r="N60" s="111">
        <f>SUM(N62,N66,N70,N74,N78,N82,N85,N89,N92)</f>
        <v>6650000</v>
      </c>
      <c r="O60" s="111">
        <f>SUM(O62,O66,O70,O74,O78,O82,O85,O89,O92)</f>
        <v>13000000</v>
      </c>
      <c r="P60" s="78"/>
    </row>
    <row r="61" spans="1:16" s="20" customFormat="1" ht="31.5">
      <c r="A61" s="1007">
        <v>12</v>
      </c>
      <c r="B61" s="995">
        <v>900</v>
      </c>
      <c r="C61" s="995">
        <v>90001</v>
      </c>
      <c r="D61" s="59" t="s">
        <v>136</v>
      </c>
      <c r="E61" s="995">
        <v>2008</v>
      </c>
      <c r="F61" s="995">
        <v>2010</v>
      </c>
      <c r="G61" s="990" t="s">
        <v>44</v>
      </c>
      <c r="H61" s="96"/>
      <c r="I61" s="119"/>
      <c r="J61" s="62"/>
      <c r="K61" s="62"/>
      <c r="L61" s="63"/>
      <c r="M61" s="63"/>
      <c r="N61" s="63"/>
      <c r="O61" s="64"/>
      <c r="P61" s="1025" t="s">
        <v>335</v>
      </c>
    </row>
    <row r="62" spans="1:16" s="20" customFormat="1" ht="15.75">
      <c r="A62" s="1008"/>
      <c r="B62" s="996"/>
      <c r="C62" s="996"/>
      <c r="D62" s="66" t="s">
        <v>33</v>
      </c>
      <c r="E62" s="1021"/>
      <c r="F62" s="1021"/>
      <c r="G62" s="1018"/>
      <c r="H62" s="87">
        <f>SUM(I62:O62)</f>
        <v>5525567</v>
      </c>
      <c r="I62" s="121">
        <f>SUM(I63:I64)</f>
        <v>10387</v>
      </c>
      <c r="J62" s="121">
        <f>SUM(J63:J64)</f>
        <v>1000</v>
      </c>
      <c r="K62" s="121">
        <f>SUM(K63:K64)</f>
        <v>5514180</v>
      </c>
      <c r="L62" s="121"/>
      <c r="M62" s="122"/>
      <c r="N62" s="122"/>
      <c r="O62" s="123"/>
      <c r="P62" s="1026"/>
    </row>
    <row r="63" spans="1:16" s="20" customFormat="1" ht="15">
      <c r="A63" s="1008"/>
      <c r="B63" s="996"/>
      <c r="C63" s="996"/>
      <c r="D63" s="71" t="s">
        <v>34</v>
      </c>
      <c r="E63" s="1021"/>
      <c r="F63" s="1021"/>
      <c r="G63" s="1018"/>
      <c r="H63" s="124">
        <f>SUM(I63:M63)</f>
        <v>2983707</v>
      </c>
      <c r="I63" s="73">
        <v>10387</v>
      </c>
      <c r="J63" s="74">
        <v>1000</v>
      </c>
      <c r="K63" s="74">
        <v>2972320</v>
      </c>
      <c r="L63" s="75"/>
      <c r="M63" s="75"/>
      <c r="N63" s="75"/>
      <c r="O63" s="88"/>
      <c r="P63" s="1026"/>
    </row>
    <row r="64" spans="1:16" s="20" customFormat="1" ht="15.75" thickBot="1">
      <c r="A64" s="1023"/>
      <c r="B64" s="1020"/>
      <c r="C64" s="1020"/>
      <c r="D64" s="90" t="s">
        <v>38</v>
      </c>
      <c r="E64" s="1022"/>
      <c r="F64" s="1022"/>
      <c r="G64" s="1019"/>
      <c r="H64" s="124">
        <f>SUM(I64:M64)</f>
        <v>2541860</v>
      </c>
      <c r="I64" s="126"/>
      <c r="J64" s="92"/>
      <c r="K64" s="92">
        <v>2541860</v>
      </c>
      <c r="L64" s="93"/>
      <c r="M64" s="93"/>
      <c r="N64" s="93"/>
      <c r="O64" s="94"/>
      <c r="P64" s="1027"/>
    </row>
    <row r="65" spans="1:16" s="20" customFormat="1" ht="15.75" customHeight="1">
      <c r="A65" s="1007">
        <v>13</v>
      </c>
      <c r="B65" s="995">
        <v>900</v>
      </c>
      <c r="C65" s="995">
        <v>90001</v>
      </c>
      <c r="D65" s="59" t="s">
        <v>336</v>
      </c>
      <c r="E65" s="995">
        <v>2010</v>
      </c>
      <c r="F65" s="995" t="s">
        <v>135</v>
      </c>
      <c r="G65" s="990" t="s">
        <v>32</v>
      </c>
      <c r="H65" s="96"/>
      <c r="I65" s="119"/>
      <c r="J65" s="62"/>
      <c r="K65" s="62"/>
      <c r="L65" s="63"/>
      <c r="M65" s="63"/>
      <c r="N65" s="63"/>
      <c r="O65" s="64"/>
      <c r="P65" s="86"/>
    </row>
    <row r="66" spans="1:16" s="20" customFormat="1" ht="15.75">
      <c r="A66" s="1008"/>
      <c r="B66" s="996"/>
      <c r="C66" s="996"/>
      <c r="D66" s="66" t="s">
        <v>33</v>
      </c>
      <c r="E66" s="1021"/>
      <c r="F66" s="1021"/>
      <c r="G66" s="1018"/>
      <c r="H66" s="87">
        <f>SUM(I66:O66)</f>
        <v>12400000</v>
      </c>
      <c r="I66" s="120"/>
      <c r="J66" s="121"/>
      <c r="K66" s="121">
        <f>SUM(K67:K68)</f>
        <v>50000</v>
      </c>
      <c r="L66" s="121">
        <f>SUM(L67:L68)</f>
        <v>150000</v>
      </c>
      <c r="M66" s="121">
        <f>SUM(M67:M68)</f>
        <v>4200000</v>
      </c>
      <c r="N66" s="121">
        <f>SUM(N67:N68)</f>
        <v>4000000</v>
      </c>
      <c r="O66" s="121">
        <f>SUM(O67:O68)</f>
        <v>4000000</v>
      </c>
      <c r="P66" s="65"/>
    </row>
    <row r="67" spans="1:16" s="20" customFormat="1" ht="15">
      <c r="A67" s="1008"/>
      <c r="B67" s="996"/>
      <c r="C67" s="996"/>
      <c r="D67" s="71" t="s">
        <v>34</v>
      </c>
      <c r="E67" s="1021"/>
      <c r="F67" s="1021"/>
      <c r="G67" s="1018"/>
      <c r="H67" s="124">
        <f>SUM(I67:O67)</f>
        <v>3250000</v>
      </c>
      <c r="I67" s="125"/>
      <c r="J67" s="74"/>
      <c r="K67" s="74">
        <v>50000</v>
      </c>
      <c r="L67" s="75">
        <v>150000</v>
      </c>
      <c r="M67" s="75">
        <v>1050000</v>
      </c>
      <c r="N67" s="75">
        <v>1000000</v>
      </c>
      <c r="O67" s="88">
        <v>1000000</v>
      </c>
      <c r="P67" s="65"/>
    </row>
    <row r="68" spans="1:16" s="20" customFormat="1" ht="15.75" thickBot="1">
      <c r="A68" s="1023"/>
      <c r="B68" s="1020"/>
      <c r="C68" s="1020"/>
      <c r="D68" s="90" t="s">
        <v>38</v>
      </c>
      <c r="E68" s="1022"/>
      <c r="F68" s="1022"/>
      <c r="G68" s="1019"/>
      <c r="H68" s="124">
        <f>SUM(I68:O68)</f>
        <v>9150000</v>
      </c>
      <c r="I68" s="126"/>
      <c r="J68" s="92"/>
      <c r="K68" s="92"/>
      <c r="L68" s="93"/>
      <c r="M68" s="93">
        <v>3150000</v>
      </c>
      <c r="N68" s="93">
        <v>3000000</v>
      </c>
      <c r="O68" s="94">
        <v>3000000</v>
      </c>
      <c r="P68" s="266">
        <v>0.75</v>
      </c>
    </row>
    <row r="69" spans="1:16" s="20" customFormat="1" ht="15.75">
      <c r="A69" s="1007">
        <v>14</v>
      </c>
      <c r="B69" s="995">
        <v>900</v>
      </c>
      <c r="C69" s="995">
        <v>90001</v>
      </c>
      <c r="D69" s="59" t="s">
        <v>337</v>
      </c>
      <c r="E69" s="995">
        <v>2011</v>
      </c>
      <c r="F69" s="995" t="s">
        <v>135</v>
      </c>
      <c r="G69" s="990" t="s">
        <v>32</v>
      </c>
      <c r="H69" s="96"/>
      <c r="I69" s="119"/>
      <c r="J69" s="62"/>
      <c r="K69" s="62"/>
      <c r="L69" s="63"/>
      <c r="M69" s="63"/>
      <c r="N69" s="63"/>
      <c r="O69" s="64"/>
      <c r="P69" s="86"/>
    </row>
    <row r="70" spans="1:16" s="20" customFormat="1" ht="15.75">
      <c r="A70" s="1008"/>
      <c r="B70" s="996"/>
      <c r="C70" s="996"/>
      <c r="D70" s="66" t="s">
        <v>33</v>
      </c>
      <c r="E70" s="1021"/>
      <c r="F70" s="1021"/>
      <c r="G70" s="1018"/>
      <c r="H70" s="87">
        <f>SUM(I70:O70)</f>
        <v>5200000</v>
      </c>
      <c r="I70" s="120"/>
      <c r="J70" s="121"/>
      <c r="K70" s="121"/>
      <c r="L70" s="121">
        <f>SUM(L71:L72)</f>
        <v>50000</v>
      </c>
      <c r="M70" s="121">
        <f>SUM(M71:M72)</f>
        <v>150000</v>
      </c>
      <c r="N70" s="121">
        <f>SUM(N71:N72)</f>
        <v>2500000</v>
      </c>
      <c r="O70" s="121">
        <f>SUM(O71:O72)</f>
        <v>2500000</v>
      </c>
      <c r="P70" s="65"/>
    </row>
    <row r="71" spans="1:16" s="20" customFormat="1" ht="15">
      <c r="A71" s="1008"/>
      <c r="B71" s="996"/>
      <c r="C71" s="996"/>
      <c r="D71" s="71" t="s">
        <v>34</v>
      </c>
      <c r="E71" s="1021"/>
      <c r="F71" s="1021"/>
      <c r="G71" s="1018"/>
      <c r="H71" s="124">
        <f>SUM(I71:O71)</f>
        <v>1450000</v>
      </c>
      <c r="I71" s="125"/>
      <c r="J71" s="74"/>
      <c r="K71" s="74"/>
      <c r="L71" s="75">
        <v>50000</v>
      </c>
      <c r="M71" s="75">
        <v>150000</v>
      </c>
      <c r="N71" s="75">
        <v>625000</v>
      </c>
      <c r="O71" s="88">
        <v>625000</v>
      </c>
      <c r="P71" s="65"/>
    </row>
    <row r="72" spans="1:16" s="20" customFormat="1" ht="15.75" thickBot="1">
      <c r="A72" s="1023"/>
      <c r="B72" s="1020"/>
      <c r="C72" s="1020"/>
      <c r="D72" s="90" t="s">
        <v>38</v>
      </c>
      <c r="E72" s="1022"/>
      <c r="F72" s="1022"/>
      <c r="G72" s="1019"/>
      <c r="H72" s="124">
        <f>SUM(I72:O72)</f>
        <v>3750000</v>
      </c>
      <c r="I72" s="126"/>
      <c r="J72" s="92"/>
      <c r="K72" s="92"/>
      <c r="L72" s="93"/>
      <c r="M72" s="93"/>
      <c r="N72" s="93">
        <v>1875000</v>
      </c>
      <c r="O72" s="94">
        <v>1875000</v>
      </c>
      <c r="P72" s="266">
        <v>0.75</v>
      </c>
    </row>
    <row r="73" spans="1:16" s="20" customFormat="1" ht="31.5">
      <c r="A73" s="1007">
        <v>15</v>
      </c>
      <c r="B73" s="995">
        <v>900</v>
      </c>
      <c r="C73" s="995">
        <v>90001</v>
      </c>
      <c r="D73" s="59" t="s">
        <v>338</v>
      </c>
      <c r="E73" s="995">
        <v>2012</v>
      </c>
      <c r="F73" s="995" t="s">
        <v>135</v>
      </c>
      <c r="G73" s="990" t="s">
        <v>32</v>
      </c>
      <c r="H73" s="96"/>
      <c r="I73" s="119"/>
      <c r="J73" s="62"/>
      <c r="K73" s="62"/>
      <c r="L73" s="63"/>
      <c r="M73" s="63"/>
      <c r="N73" s="63"/>
      <c r="O73" s="64"/>
      <c r="P73" s="86"/>
    </row>
    <row r="74" spans="1:16" s="20" customFormat="1" ht="15.75">
      <c r="A74" s="1008"/>
      <c r="B74" s="996"/>
      <c r="C74" s="996"/>
      <c r="D74" s="66" t="s">
        <v>33</v>
      </c>
      <c r="E74" s="1021"/>
      <c r="F74" s="1021"/>
      <c r="G74" s="1018"/>
      <c r="H74" s="87">
        <f>SUM(I74:O74)</f>
        <v>6700000</v>
      </c>
      <c r="I74" s="120"/>
      <c r="J74" s="121"/>
      <c r="K74" s="121"/>
      <c r="L74" s="121"/>
      <c r="M74" s="121">
        <f>SUM(M75:M76)</f>
        <v>50000</v>
      </c>
      <c r="N74" s="121">
        <f>SUM(N75:N76)</f>
        <v>150000</v>
      </c>
      <c r="O74" s="121">
        <f>SUM(O75:O76)</f>
        <v>6500000</v>
      </c>
      <c r="P74" s="65"/>
    </row>
    <row r="75" spans="1:16" s="20" customFormat="1" ht="15">
      <c r="A75" s="1008"/>
      <c r="B75" s="996"/>
      <c r="C75" s="996"/>
      <c r="D75" s="71" t="s">
        <v>34</v>
      </c>
      <c r="E75" s="1021"/>
      <c r="F75" s="1021"/>
      <c r="G75" s="1018"/>
      <c r="H75" s="124">
        <f>SUM(I75:O75)</f>
        <v>1825000</v>
      </c>
      <c r="I75" s="125"/>
      <c r="J75" s="74"/>
      <c r="K75" s="74"/>
      <c r="L75" s="75"/>
      <c r="M75" s="75">
        <v>50000</v>
      </c>
      <c r="N75" s="75">
        <v>150000</v>
      </c>
      <c r="O75" s="88">
        <v>1625000</v>
      </c>
      <c r="P75" s="65"/>
    </row>
    <row r="76" spans="1:16" s="20" customFormat="1" ht="15.75" thickBot="1">
      <c r="A76" s="1023"/>
      <c r="B76" s="1020"/>
      <c r="C76" s="1020"/>
      <c r="D76" s="90" t="s">
        <v>38</v>
      </c>
      <c r="E76" s="1022"/>
      <c r="F76" s="1022"/>
      <c r="G76" s="1019"/>
      <c r="H76" s="124">
        <f>SUM(I76:O76)</f>
        <v>4875000</v>
      </c>
      <c r="I76" s="126"/>
      <c r="J76" s="92"/>
      <c r="K76" s="92"/>
      <c r="L76" s="93"/>
      <c r="M76" s="93"/>
      <c r="N76" s="93"/>
      <c r="O76" s="94">
        <v>4875000</v>
      </c>
      <c r="P76" s="266">
        <v>0.75</v>
      </c>
    </row>
    <row r="77" spans="1:16" s="20" customFormat="1" ht="31.5">
      <c r="A77" s="1007">
        <v>16</v>
      </c>
      <c r="B77" s="995">
        <v>900</v>
      </c>
      <c r="C77" s="995">
        <v>90001</v>
      </c>
      <c r="D77" s="108" t="s">
        <v>137</v>
      </c>
      <c r="E77" s="1021">
        <v>2010</v>
      </c>
      <c r="F77" s="1021">
        <v>2012</v>
      </c>
      <c r="G77" s="1018" t="s">
        <v>32</v>
      </c>
      <c r="H77" s="96"/>
      <c r="I77" s="127"/>
      <c r="J77" s="106"/>
      <c r="K77" s="106"/>
      <c r="L77" s="69"/>
      <c r="M77" s="69"/>
      <c r="N77" s="69"/>
      <c r="O77" s="70"/>
      <c r="P77" s="65"/>
    </row>
    <row r="78" spans="1:16" s="20" customFormat="1" ht="15.75">
      <c r="A78" s="1029"/>
      <c r="B78" s="1021"/>
      <c r="C78" s="1021"/>
      <c r="D78" s="66" t="s">
        <v>33</v>
      </c>
      <c r="E78" s="1021"/>
      <c r="F78" s="1021"/>
      <c r="G78" s="1018"/>
      <c r="H78" s="87">
        <f>SUM(I78:O78)</f>
        <v>1650000</v>
      </c>
      <c r="I78" s="128"/>
      <c r="J78" s="121"/>
      <c r="K78" s="121">
        <f>SUM(K79:K80)</f>
        <v>100000</v>
      </c>
      <c r="L78" s="121">
        <f>SUM(L79:L80)</f>
        <v>550000</v>
      </c>
      <c r="M78" s="121">
        <f>SUM(M79:M80)</f>
        <v>1000000</v>
      </c>
      <c r="N78" s="121"/>
      <c r="O78" s="88"/>
      <c r="P78" s="65"/>
    </row>
    <row r="79" spans="1:16" s="20" customFormat="1" ht="15">
      <c r="A79" s="1029"/>
      <c r="B79" s="1021"/>
      <c r="C79" s="1021"/>
      <c r="D79" s="71" t="s">
        <v>34</v>
      </c>
      <c r="E79" s="1021"/>
      <c r="F79" s="1021"/>
      <c r="G79" s="1018"/>
      <c r="H79" s="124">
        <f>SUM(I79:O79)</f>
        <v>487500</v>
      </c>
      <c r="I79" s="125"/>
      <c r="J79" s="74"/>
      <c r="K79" s="75">
        <v>100000</v>
      </c>
      <c r="L79" s="75">
        <v>137500</v>
      </c>
      <c r="M79" s="75">
        <v>250000</v>
      </c>
      <c r="N79" s="75"/>
      <c r="O79" s="88"/>
      <c r="P79" s="65"/>
    </row>
    <row r="80" spans="1:16" s="20" customFormat="1" ht="15.75" thickBot="1">
      <c r="A80" s="1046"/>
      <c r="B80" s="1022"/>
      <c r="C80" s="1022"/>
      <c r="D80" s="90" t="s">
        <v>38</v>
      </c>
      <c r="E80" s="1021"/>
      <c r="F80" s="1021"/>
      <c r="G80" s="1018"/>
      <c r="H80" s="142">
        <f>SUM(I80:O80)</f>
        <v>1162500</v>
      </c>
      <c r="I80" s="126"/>
      <c r="J80" s="92"/>
      <c r="K80" s="93"/>
      <c r="L80" s="93">
        <v>412500</v>
      </c>
      <c r="M80" s="93">
        <v>750000</v>
      </c>
      <c r="N80" s="93"/>
      <c r="O80" s="94"/>
      <c r="P80" s="266">
        <v>0.75</v>
      </c>
    </row>
    <row r="81" spans="1:16" s="20" customFormat="1" ht="31.5">
      <c r="A81" s="1007">
        <v>17</v>
      </c>
      <c r="B81" s="995">
        <v>900</v>
      </c>
      <c r="C81" s="995">
        <v>90001</v>
      </c>
      <c r="D81" s="129" t="s">
        <v>51</v>
      </c>
      <c r="E81" s="58"/>
      <c r="F81" s="58"/>
      <c r="G81" s="60"/>
      <c r="H81" s="130"/>
      <c r="I81" s="131"/>
      <c r="J81" s="99"/>
      <c r="K81" s="99"/>
      <c r="L81" s="100"/>
      <c r="M81" s="100"/>
      <c r="N81" s="100"/>
      <c r="O81" s="132"/>
      <c r="P81" s="86"/>
    </row>
    <row r="82" spans="1:16" s="20" customFormat="1" ht="15.75">
      <c r="A82" s="1008"/>
      <c r="B82" s="1030"/>
      <c r="C82" s="1030"/>
      <c r="D82" s="133" t="s">
        <v>33</v>
      </c>
      <c r="E82" s="103">
        <v>2008</v>
      </c>
      <c r="F82" s="103">
        <v>2009</v>
      </c>
      <c r="G82" s="104" t="s">
        <v>32</v>
      </c>
      <c r="H82" s="87">
        <f>SUM(I82:O82)</f>
        <v>389734</v>
      </c>
      <c r="I82" s="121">
        <f>SUM(I83:I83)</f>
        <v>39734</v>
      </c>
      <c r="J82" s="121">
        <f>SUM(J83:J83)</f>
        <v>350000</v>
      </c>
      <c r="K82" s="121"/>
      <c r="L82" s="75"/>
      <c r="M82" s="75"/>
      <c r="N82" s="75"/>
      <c r="O82" s="88"/>
      <c r="P82" s="65"/>
    </row>
    <row r="83" spans="1:16" s="20" customFormat="1" ht="15.75" thickBot="1">
      <c r="A83" s="1029"/>
      <c r="B83" s="1022"/>
      <c r="C83" s="1022"/>
      <c r="D83" s="71" t="s">
        <v>34</v>
      </c>
      <c r="E83" s="103"/>
      <c r="F83" s="103"/>
      <c r="G83" s="104"/>
      <c r="H83" s="89">
        <f>SUM(I83:O83)</f>
        <v>389734</v>
      </c>
      <c r="I83" s="74">
        <v>39734</v>
      </c>
      <c r="J83" s="74">
        <v>350000</v>
      </c>
      <c r="K83" s="74"/>
      <c r="L83" s="75"/>
      <c r="M83" s="75"/>
      <c r="N83" s="75"/>
      <c r="O83" s="88"/>
      <c r="P83" s="65"/>
    </row>
    <row r="84" spans="1:16" s="20" customFormat="1" ht="47.25">
      <c r="A84" s="1007">
        <v>18</v>
      </c>
      <c r="B84" s="995">
        <v>900</v>
      </c>
      <c r="C84" s="995">
        <v>90001</v>
      </c>
      <c r="D84" s="134" t="s">
        <v>138</v>
      </c>
      <c r="E84" s="995">
        <v>2008</v>
      </c>
      <c r="F84" s="995">
        <v>2010</v>
      </c>
      <c r="G84" s="995" t="s">
        <v>32</v>
      </c>
      <c r="H84" s="135"/>
      <c r="I84" s="131"/>
      <c r="J84" s="99"/>
      <c r="K84" s="99"/>
      <c r="L84" s="100"/>
      <c r="M84" s="100"/>
      <c r="N84" s="100"/>
      <c r="O84" s="132"/>
      <c r="P84" s="86"/>
    </row>
    <row r="85" spans="1:16" s="20" customFormat="1" ht="15.75">
      <c r="A85" s="1008"/>
      <c r="B85" s="996"/>
      <c r="C85" s="996"/>
      <c r="D85" s="133" t="s">
        <v>33</v>
      </c>
      <c r="E85" s="996"/>
      <c r="F85" s="996"/>
      <c r="G85" s="996"/>
      <c r="H85" s="87">
        <f>SUM(I85:O85)</f>
        <v>1505246</v>
      </c>
      <c r="I85" s="121">
        <f>SUM(I86:I87)</f>
        <v>5246</v>
      </c>
      <c r="J85" s="121"/>
      <c r="K85" s="121">
        <f>SUM(K86:K87)</f>
        <v>1500000</v>
      </c>
      <c r="L85" s="75"/>
      <c r="M85" s="75"/>
      <c r="N85" s="75"/>
      <c r="O85" s="88"/>
      <c r="P85" s="65"/>
    </row>
    <row r="86" spans="1:16" s="20" customFormat="1" ht="15">
      <c r="A86" s="1008"/>
      <c r="B86" s="996"/>
      <c r="C86" s="996"/>
      <c r="D86" s="71" t="s">
        <v>34</v>
      </c>
      <c r="E86" s="996"/>
      <c r="F86" s="996"/>
      <c r="G86" s="996"/>
      <c r="H86" s="124">
        <f>SUM(I86:O86)</f>
        <v>380246</v>
      </c>
      <c r="I86" s="73">
        <v>5246</v>
      </c>
      <c r="J86" s="74"/>
      <c r="K86" s="74">
        <v>375000</v>
      </c>
      <c r="L86" s="75"/>
      <c r="M86" s="75"/>
      <c r="N86" s="75"/>
      <c r="O86" s="88"/>
      <c r="P86" s="65"/>
    </row>
    <row r="87" spans="1:16" s="20" customFormat="1" ht="15.75" thickBot="1">
      <c r="A87" s="1023"/>
      <c r="B87" s="1020"/>
      <c r="C87" s="1020"/>
      <c r="D87" s="71" t="s">
        <v>38</v>
      </c>
      <c r="E87" s="1020"/>
      <c r="F87" s="1020"/>
      <c r="G87" s="1020"/>
      <c r="H87" s="107">
        <f>SUM(I87:O87)</f>
        <v>1125000</v>
      </c>
      <c r="I87" s="126"/>
      <c r="J87" s="92"/>
      <c r="K87" s="92">
        <v>1125000</v>
      </c>
      <c r="L87" s="93"/>
      <c r="M87" s="93"/>
      <c r="N87" s="93"/>
      <c r="O87" s="94"/>
      <c r="P87" s="266">
        <v>0.75</v>
      </c>
    </row>
    <row r="88" spans="1:16" s="20" customFormat="1" ht="63">
      <c r="A88" s="1034">
        <v>19</v>
      </c>
      <c r="B88" s="1031">
        <v>900</v>
      </c>
      <c r="C88" s="1031">
        <v>90001</v>
      </c>
      <c r="D88" s="134" t="s">
        <v>247</v>
      </c>
      <c r="E88" s="1031">
        <v>2008</v>
      </c>
      <c r="F88" s="1031">
        <v>2010</v>
      </c>
      <c r="G88" s="1031" t="s">
        <v>32</v>
      </c>
      <c r="H88" s="89"/>
      <c r="I88" s="125"/>
      <c r="J88" s="74"/>
      <c r="K88" s="74"/>
      <c r="L88" s="75"/>
      <c r="M88" s="75"/>
      <c r="N88" s="75"/>
      <c r="O88" s="88"/>
      <c r="P88" s="65"/>
    </row>
    <row r="89" spans="1:16" s="20" customFormat="1" ht="15.75">
      <c r="A89" s="1008"/>
      <c r="B89" s="996"/>
      <c r="C89" s="996"/>
      <c r="D89" s="133" t="s">
        <v>33</v>
      </c>
      <c r="E89" s="996"/>
      <c r="F89" s="996"/>
      <c r="G89" s="996"/>
      <c r="H89" s="87">
        <f>SUM(I89:O89)</f>
        <v>1305364</v>
      </c>
      <c r="I89" s="121">
        <f>SUM(I90:I90)</f>
        <v>205364</v>
      </c>
      <c r="J89" s="121">
        <f>SUM(J90:J90)</f>
        <v>500000</v>
      </c>
      <c r="K89" s="121">
        <f>SUM(K90:K90)</f>
        <v>600000</v>
      </c>
      <c r="L89" s="75"/>
      <c r="M89" s="75"/>
      <c r="N89" s="75"/>
      <c r="O89" s="88"/>
      <c r="P89" s="65"/>
    </row>
    <row r="90" spans="1:16" s="20" customFormat="1" ht="15.75" thickBot="1">
      <c r="A90" s="1008"/>
      <c r="B90" s="996"/>
      <c r="C90" s="996"/>
      <c r="D90" s="71" t="s">
        <v>34</v>
      </c>
      <c r="E90" s="996"/>
      <c r="F90" s="996"/>
      <c r="G90" s="996"/>
      <c r="H90" s="107">
        <f>SUM(I90:O90)</f>
        <v>1305364</v>
      </c>
      <c r="I90" s="126">
        <v>205364</v>
      </c>
      <c r="J90" s="92">
        <v>500000</v>
      </c>
      <c r="K90" s="92">
        <v>600000</v>
      </c>
      <c r="L90" s="93"/>
      <c r="M90" s="93"/>
      <c r="N90" s="93"/>
      <c r="O90" s="94"/>
      <c r="P90" s="95"/>
    </row>
    <row r="91" spans="1:16" s="20" customFormat="1" ht="63">
      <c r="A91" s="1024">
        <v>20</v>
      </c>
      <c r="B91" s="995">
        <v>900</v>
      </c>
      <c r="C91" s="995">
        <v>90001</v>
      </c>
      <c r="D91" s="59" t="s">
        <v>346</v>
      </c>
      <c r="E91" s="995">
        <v>2007</v>
      </c>
      <c r="F91" s="995">
        <v>2011</v>
      </c>
      <c r="G91" s="990" t="s">
        <v>44</v>
      </c>
      <c r="H91" s="96"/>
      <c r="I91" s="119"/>
      <c r="J91" s="62"/>
      <c r="K91" s="62"/>
      <c r="L91" s="62"/>
      <c r="M91" s="63"/>
      <c r="N91" s="63"/>
      <c r="O91" s="64"/>
      <c r="P91" s="86"/>
    </row>
    <row r="92" spans="1:16" s="20" customFormat="1" ht="15.75">
      <c r="A92" s="1008"/>
      <c r="B92" s="996"/>
      <c r="C92" s="996"/>
      <c r="D92" s="66" t="s">
        <v>33</v>
      </c>
      <c r="E92" s="1021"/>
      <c r="F92" s="1021"/>
      <c r="G92" s="1018"/>
      <c r="H92" s="87">
        <f>SUM(I92:O92)</f>
        <v>1923282</v>
      </c>
      <c r="I92" s="120">
        <f>SUM(I93:I94)</f>
        <v>71282</v>
      </c>
      <c r="J92" s="120">
        <f>SUM(J93:J94)</f>
        <v>2000</v>
      </c>
      <c r="K92" s="120">
        <f>SUM(K93:K94)</f>
        <v>900000</v>
      </c>
      <c r="L92" s="120">
        <f>SUM(L93:L94)</f>
        <v>950000</v>
      </c>
      <c r="M92" s="75"/>
      <c r="N92" s="75"/>
      <c r="O92" s="88"/>
      <c r="P92" s="65"/>
    </row>
    <row r="93" spans="1:16" s="20" customFormat="1" ht="15">
      <c r="A93" s="1008"/>
      <c r="B93" s="996"/>
      <c r="C93" s="996"/>
      <c r="D93" s="71" t="s">
        <v>34</v>
      </c>
      <c r="E93" s="1021"/>
      <c r="F93" s="1021"/>
      <c r="G93" s="1018"/>
      <c r="H93" s="124">
        <f>SUM(I93:O93)</f>
        <v>1248282</v>
      </c>
      <c r="I93" s="125">
        <v>71282</v>
      </c>
      <c r="J93" s="74">
        <v>2000</v>
      </c>
      <c r="K93" s="74">
        <v>700000</v>
      </c>
      <c r="L93" s="74">
        <v>475000</v>
      </c>
      <c r="M93" s="75"/>
      <c r="N93" s="75"/>
      <c r="O93" s="88"/>
      <c r="P93" s="65"/>
    </row>
    <row r="94" spans="1:16" s="20" customFormat="1" ht="15.75" thickBot="1">
      <c r="A94" s="1023"/>
      <c r="B94" s="1020"/>
      <c r="C94" s="1020"/>
      <c r="D94" s="90" t="s">
        <v>38</v>
      </c>
      <c r="E94" s="1022"/>
      <c r="F94" s="1022"/>
      <c r="G94" s="1019"/>
      <c r="H94" s="142">
        <f>SUM(I94:O94)</f>
        <v>675000</v>
      </c>
      <c r="I94" s="126"/>
      <c r="J94" s="92"/>
      <c r="K94" s="92">
        <v>200000</v>
      </c>
      <c r="L94" s="92">
        <v>475000</v>
      </c>
      <c r="M94" s="93"/>
      <c r="N94" s="93"/>
      <c r="O94" s="94"/>
      <c r="P94" s="266">
        <v>0.5</v>
      </c>
    </row>
    <row r="95" spans="1:16" s="20" customFormat="1" ht="15.75">
      <c r="A95" s="999" t="s">
        <v>7</v>
      </c>
      <c r="B95" s="987" t="s">
        <v>0</v>
      </c>
      <c r="C95" s="987" t="s">
        <v>20</v>
      </c>
      <c r="D95" s="987" t="s">
        <v>21</v>
      </c>
      <c r="E95" s="1010" t="s">
        <v>22</v>
      </c>
      <c r="F95" s="1011"/>
      <c r="G95" s="987" t="s">
        <v>23</v>
      </c>
      <c r="H95" s="1010" t="s">
        <v>24</v>
      </c>
      <c r="I95" s="1016" t="s">
        <v>25</v>
      </c>
      <c r="J95" s="1017"/>
      <c r="K95" s="1017"/>
      <c r="L95" s="1017"/>
      <c r="M95" s="1017"/>
      <c r="N95" s="1017"/>
      <c r="O95" s="1017"/>
      <c r="P95" s="1013" t="s">
        <v>26</v>
      </c>
    </row>
    <row r="96" spans="1:16" s="20" customFormat="1" ht="15.75">
      <c r="A96" s="1000"/>
      <c r="B96" s="988"/>
      <c r="C96" s="988"/>
      <c r="D96" s="988"/>
      <c r="E96" s="1002"/>
      <c r="F96" s="1012"/>
      <c r="G96" s="988"/>
      <c r="H96" s="988"/>
      <c r="I96" s="988" t="s">
        <v>133</v>
      </c>
      <c r="J96" s="988" t="s">
        <v>134</v>
      </c>
      <c r="K96" s="1002" t="s">
        <v>27</v>
      </c>
      <c r="L96" s="1003"/>
      <c r="M96" s="1003"/>
      <c r="N96" s="1003"/>
      <c r="O96" s="1003"/>
      <c r="P96" s="1014"/>
    </row>
    <row r="97" spans="1:16" s="20" customFormat="1" ht="33" customHeight="1" thickBot="1">
      <c r="A97" s="1001"/>
      <c r="B97" s="989"/>
      <c r="C97" s="989"/>
      <c r="D97" s="989"/>
      <c r="E97" s="114" t="s">
        <v>28</v>
      </c>
      <c r="F97" s="114" t="s">
        <v>29</v>
      </c>
      <c r="G97" s="989"/>
      <c r="H97" s="1004"/>
      <c r="I97" s="1004"/>
      <c r="J97" s="1004"/>
      <c r="K97" s="115">
        <v>2010</v>
      </c>
      <c r="L97" s="116">
        <v>2011</v>
      </c>
      <c r="M97" s="116">
        <v>2012</v>
      </c>
      <c r="N97" s="116">
        <v>2013</v>
      </c>
      <c r="O97" s="117" t="s">
        <v>135</v>
      </c>
      <c r="P97" s="1015"/>
    </row>
    <row r="98" spans="1:16" s="20" customFormat="1" ht="15.75" thickBot="1">
      <c r="A98" s="136">
        <v>1</v>
      </c>
      <c r="B98" s="137">
        <v>2</v>
      </c>
      <c r="C98" s="137">
        <v>3</v>
      </c>
      <c r="D98" s="137">
        <v>4</v>
      </c>
      <c r="E98" s="138">
        <v>5</v>
      </c>
      <c r="F98" s="138">
        <v>6</v>
      </c>
      <c r="G98" s="138">
        <v>7</v>
      </c>
      <c r="H98" s="139">
        <v>8</v>
      </c>
      <c r="I98" s="138">
        <v>9</v>
      </c>
      <c r="J98" s="137">
        <v>10</v>
      </c>
      <c r="K98" s="137">
        <v>11</v>
      </c>
      <c r="L98" s="137">
        <v>12</v>
      </c>
      <c r="M98" s="137">
        <v>13</v>
      </c>
      <c r="N98" s="137">
        <v>14</v>
      </c>
      <c r="O98" s="140">
        <v>15</v>
      </c>
      <c r="P98" s="141">
        <v>16</v>
      </c>
    </row>
    <row r="99" spans="1:16" s="20" customFormat="1" ht="17.25" thickBot="1" thickTop="1">
      <c r="A99" s="1005" t="s">
        <v>52</v>
      </c>
      <c r="B99" s="1006"/>
      <c r="C99" s="1006"/>
      <c r="D99" s="1006"/>
      <c r="E99" s="1006"/>
      <c r="F99" s="1006"/>
      <c r="G99" s="1006"/>
      <c r="H99" s="55">
        <f>SUM(I99:O99)</f>
        <v>14260000</v>
      </c>
      <c r="I99" s="144">
        <f>SUM(I101)</f>
        <v>780747</v>
      </c>
      <c r="J99" s="144">
        <f aca="true" t="shared" si="3" ref="J99:O99">SUM(J101)</f>
        <v>213500</v>
      </c>
      <c r="K99" s="144">
        <f t="shared" si="3"/>
        <v>0</v>
      </c>
      <c r="L99" s="144">
        <f t="shared" si="3"/>
        <v>7623000</v>
      </c>
      <c r="M99" s="144">
        <f t="shared" si="3"/>
        <v>5642753</v>
      </c>
      <c r="N99" s="144">
        <f t="shared" si="3"/>
        <v>0</v>
      </c>
      <c r="O99" s="144">
        <f t="shared" si="3"/>
        <v>0</v>
      </c>
      <c r="P99" s="78"/>
    </row>
    <row r="100" spans="1:16" s="20" customFormat="1" ht="31.5">
      <c r="A100" s="1024">
        <v>21</v>
      </c>
      <c r="B100" s="995">
        <v>900</v>
      </c>
      <c r="C100" s="995">
        <v>90002</v>
      </c>
      <c r="D100" s="59" t="s">
        <v>139</v>
      </c>
      <c r="E100" s="995">
        <v>2008</v>
      </c>
      <c r="F100" s="995">
        <v>2012</v>
      </c>
      <c r="G100" s="995" t="s">
        <v>54</v>
      </c>
      <c r="H100" s="96"/>
      <c r="I100" s="119"/>
      <c r="J100" s="62"/>
      <c r="K100" s="62"/>
      <c r="L100" s="62"/>
      <c r="M100" s="63"/>
      <c r="N100" s="63"/>
      <c r="O100" s="64"/>
      <c r="P100" s="86"/>
    </row>
    <row r="101" spans="1:16" s="20" customFormat="1" ht="15.75">
      <c r="A101" s="1047"/>
      <c r="B101" s="1021"/>
      <c r="C101" s="1021"/>
      <c r="D101" s="66" t="s">
        <v>33</v>
      </c>
      <c r="E101" s="1021"/>
      <c r="F101" s="1021"/>
      <c r="G101" s="1021"/>
      <c r="H101" s="87">
        <f>SUM(I101:O101)</f>
        <v>14260000</v>
      </c>
      <c r="I101" s="121">
        <f>SUM(I102:I103)</f>
        <v>780747</v>
      </c>
      <c r="J101" s="121">
        <f>SUM(J102:J103)</f>
        <v>213500</v>
      </c>
      <c r="K101" s="121"/>
      <c r="L101" s="121">
        <f>SUM(L102:L103)</f>
        <v>7623000</v>
      </c>
      <c r="M101" s="121">
        <f>SUM(M102:M103)</f>
        <v>5642753</v>
      </c>
      <c r="N101" s="122"/>
      <c r="O101" s="123"/>
      <c r="P101" s="65"/>
    </row>
    <row r="102" spans="1:16" s="20" customFormat="1" ht="15">
      <c r="A102" s="1047"/>
      <c r="B102" s="1021"/>
      <c r="C102" s="1021"/>
      <c r="D102" s="71" t="s">
        <v>34</v>
      </c>
      <c r="E102" s="1048"/>
      <c r="F102" s="1048"/>
      <c r="G102" s="1048"/>
      <c r="H102" s="124">
        <f>SUM(I102:O102)</f>
        <v>3611400</v>
      </c>
      <c r="I102" s="74">
        <v>780747</v>
      </c>
      <c r="J102" s="74">
        <v>45000</v>
      </c>
      <c r="K102" s="74"/>
      <c r="L102" s="74">
        <v>1600800</v>
      </c>
      <c r="M102" s="75">
        <v>1184853</v>
      </c>
      <c r="N102" s="75"/>
      <c r="O102" s="88"/>
      <c r="P102" s="65"/>
    </row>
    <row r="103" spans="1:16" s="20" customFormat="1" ht="15.75" thickBot="1">
      <c r="A103" s="1023"/>
      <c r="B103" s="1020"/>
      <c r="C103" s="1020"/>
      <c r="D103" s="90" t="s">
        <v>38</v>
      </c>
      <c r="E103" s="1049"/>
      <c r="F103" s="1049"/>
      <c r="G103" s="1049"/>
      <c r="H103" s="142">
        <f>SUM(I103:O103)</f>
        <v>10648600</v>
      </c>
      <c r="I103" s="126"/>
      <c r="J103" s="92">
        <v>168500</v>
      </c>
      <c r="K103" s="92"/>
      <c r="L103" s="92">
        <v>6022200</v>
      </c>
      <c r="M103" s="93">
        <v>4457900</v>
      </c>
      <c r="N103" s="93"/>
      <c r="O103" s="94"/>
      <c r="P103" s="266">
        <v>0.75</v>
      </c>
    </row>
    <row r="104" spans="1:16" s="20" customFormat="1" ht="17.25" thickBot="1" thickTop="1">
      <c r="A104" s="1005" t="s">
        <v>55</v>
      </c>
      <c r="B104" s="1006"/>
      <c r="C104" s="1006"/>
      <c r="D104" s="1006"/>
      <c r="E104" s="1006"/>
      <c r="F104" s="1006"/>
      <c r="G104" s="1006"/>
      <c r="H104" s="55">
        <f>SUM(I104:O104)</f>
        <v>1206318</v>
      </c>
      <c r="I104" s="144">
        <f>SUM(I106,I109,I112,I115,I118,I121,I124,I127,I130,I133,I136)</f>
        <v>28810</v>
      </c>
      <c r="J104" s="144">
        <f>SUM(J106,J109,J112,J115,J118,J121,J124,J127,J130,J133,J136)</f>
        <v>162508</v>
      </c>
      <c r="K104" s="144">
        <f>SUM(K106,K109,K112,K115,K118,K121,K124,K127,K130,K133,K136)</f>
        <v>580000</v>
      </c>
      <c r="L104" s="144">
        <f>SUM(L106,L109,L112,L115,L118,L121,L124,L127,L130,L133,L136)</f>
        <v>435000</v>
      </c>
      <c r="M104" s="144">
        <f>SUM(M106,M136)</f>
        <v>0</v>
      </c>
      <c r="N104" s="144">
        <f>SUM(N106,N136)</f>
        <v>0</v>
      </c>
      <c r="O104" s="144">
        <f>SUM(O106,O136)</f>
        <v>0</v>
      </c>
      <c r="P104" s="78"/>
    </row>
    <row r="105" spans="1:16" s="20" customFormat="1" ht="15.75">
      <c r="A105" s="1024">
        <v>22</v>
      </c>
      <c r="B105" s="995">
        <v>900</v>
      </c>
      <c r="C105" s="995">
        <v>90015</v>
      </c>
      <c r="D105" s="59" t="s">
        <v>56</v>
      </c>
      <c r="E105" s="995">
        <v>2008</v>
      </c>
      <c r="F105" s="995">
        <v>2009</v>
      </c>
      <c r="G105" s="990" t="s">
        <v>32</v>
      </c>
      <c r="H105" s="96"/>
      <c r="I105" s="85"/>
      <c r="J105" s="62"/>
      <c r="K105" s="62"/>
      <c r="L105" s="62"/>
      <c r="M105" s="63"/>
      <c r="N105" s="63"/>
      <c r="O105" s="64"/>
      <c r="P105" s="86"/>
    </row>
    <row r="106" spans="1:16" s="20" customFormat="1" ht="15.75">
      <c r="A106" s="1008"/>
      <c r="B106" s="996"/>
      <c r="C106" s="996"/>
      <c r="D106" s="66" t="s">
        <v>33</v>
      </c>
      <c r="E106" s="1021"/>
      <c r="F106" s="1021"/>
      <c r="G106" s="1018"/>
      <c r="H106" s="87">
        <f>SUM(I106:O106)</f>
        <v>105630</v>
      </c>
      <c r="I106" s="87">
        <f>SUM(I107:I107)</f>
        <v>10422</v>
      </c>
      <c r="J106" s="87">
        <f>SUM(J107:J107)</f>
        <v>95208</v>
      </c>
      <c r="K106" s="87"/>
      <c r="L106" s="74"/>
      <c r="M106" s="75"/>
      <c r="N106" s="75"/>
      <c r="O106" s="88"/>
      <c r="P106" s="65"/>
    </row>
    <row r="107" spans="1:16" s="20" customFormat="1" ht="15.75" thickBot="1">
      <c r="A107" s="1008"/>
      <c r="B107" s="996"/>
      <c r="C107" s="996"/>
      <c r="D107" s="71" t="s">
        <v>34</v>
      </c>
      <c r="E107" s="996"/>
      <c r="F107" s="996"/>
      <c r="G107" s="991"/>
      <c r="H107" s="124">
        <f>SUM(I107:O107)</f>
        <v>105630</v>
      </c>
      <c r="I107" s="74">
        <v>10422</v>
      </c>
      <c r="J107" s="74">
        <v>95208</v>
      </c>
      <c r="K107" s="74"/>
      <c r="L107" s="74"/>
      <c r="M107" s="75"/>
      <c r="N107" s="75"/>
      <c r="O107" s="88"/>
      <c r="P107" s="95"/>
    </row>
    <row r="108" spans="1:16" s="20" customFormat="1" ht="31.5">
      <c r="A108" s="1024">
        <v>23</v>
      </c>
      <c r="B108" s="995">
        <v>900</v>
      </c>
      <c r="C108" s="995">
        <v>90015</v>
      </c>
      <c r="D108" s="59" t="s">
        <v>140</v>
      </c>
      <c r="E108" s="995">
        <v>2009</v>
      </c>
      <c r="F108" s="995">
        <v>2010</v>
      </c>
      <c r="G108" s="990" t="s">
        <v>32</v>
      </c>
      <c r="H108" s="96"/>
      <c r="I108" s="85"/>
      <c r="J108" s="62"/>
      <c r="K108" s="62"/>
      <c r="L108" s="62"/>
      <c r="M108" s="63"/>
      <c r="N108" s="63"/>
      <c r="O108" s="64"/>
      <c r="P108" s="86"/>
    </row>
    <row r="109" spans="1:16" s="20" customFormat="1" ht="15.75">
      <c r="A109" s="1008"/>
      <c r="B109" s="996"/>
      <c r="C109" s="996"/>
      <c r="D109" s="66" t="s">
        <v>33</v>
      </c>
      <c r="E109" s="1021"/>
      <c r="F109" s="1021"/>
      <c r="G109" s="1018"/>
      <c r="H109" s="87">
        <f>SUM(I109:O109)</f>
        <v>140000</v>
      </c>
      <c r="I109" s="87"/>
      <c r="J109" s="87">
        <f>SUM(J110:J110)</f>
        <v>20000</v>
      </c>
      <c r="K109" s="87">
        <f>SUM(K110:K110)</f>
        <v>120000</v>
      </c>
      <c r="L109" s="74"/>
      <c r="M109" s="75"/>
      <c r="N109" s="75"/>
      <c r="O109" s="88"/>
      <c r="P109" s="65"/>
    </row>
    <row r="110" spans="1:16" s="20" customFormat="1" ht="15.75" thickBot="1">
      <c r="A110" s="1008"/>
      <c r="B110" s="996"/>
      <c r="C110" s="996"/>
      <c r="D110" s="71" t="s">
        <v>34</v>
      </c>
      <c r="E110" s="996"/>
      <c r="F110" s="996"/>
      <c r="G110" s="991"/>
      <c r="H110" s="124">
        <f>SUM(I110:O110)</f>
        <v>140000</v>
      </c>
      <c r="I110" s="74"/>
      <c r="J110" s="89">
        <v>20000</v>
      </c>
      <c r="K110" s="74">
        <v>120000</v>
      </c>
      <c r="L110" s="74"/>
      <c r="M110" s="75"/>
      <c r="N110" s="75"/>
      <c r="O110" s="88"/>
      <c r="P110" s="95"/>
    </row>
    <row r="111" spans="1:16" s="20" customFormat="1" ht="47.25">
      <c r="A111" s="1024">
        <v>24</v>
      </c>
      <c r="B111" s="995">
        <v>900</v>
      </c>
      <c r="C111" s="995">
        <v>90015</v>
      </c>
      <c r="D111" s="59" t="s">
        <v>347</v>
      </c>
      <c r="E111" s="995">
        <v>2010</v>
      </c>
      <c r="F111" s="995">
        <v>2011</v>
      </c>
      <c r="G111" s="990" t="s">
        <v>32</v>
      </c>
      <c r="H111" s="96"/>
      <c r="I111" s="85"/>
      <c r="J111" s="62"/>
      <c r="K111" s="62"/>
      <c r="L111" s="62"/>
      <c r="M111" s="63"/>
      <c r="N111" s="63"/>
      <c r="O111" s="64"/>
      <c r="P111" s="86"/>
    </row>
    <row r="112" spans="1:16" s="20" customFormat="1" ht="15.75">
      <c r="A112" s="1008"/>
      <c r="B112" s="996"/>
      <c r="C112" s="996"/>
      <c r="D112" s="66" t="s">
        <v>33</v>
      </c>
      <c r="E112" s="1021"/>
      <c r="F112" s="1021"/>
      <c r="G112" s="1018"/>
      <c r="H112" s="87">
        <f>SUM(I112:O112)</f>
        <v>55000</v>
      </c>
      <c r="I112" s="87"/>
      <c r="J112" s="87"/>
      <c r="K112" s="87">
        <f>SUM(K113:K113)</f>
        <v>15000</v>
      </c>
      <c r="L112" s="87">
        <f>SUM(L113:L113)</f>
        <v>40000</v>
      </c>
      <c r="M112" s="75"/>
      <c r="N112" s="75"/>
      <c r="O112" s="88"/>
      <c r="P112" s="65"/>
    </row>
    <row r="113" spans="1:16" s="20" customFormat="1" ht="15.75" thickBot="1">
      <c r="A113" s="1008"/>
      <c r="B113" s="996"/>
      <c r="C113" s="996"/>
      <c r="D113" s="71" t="s">
        <v>34</v>
      </c>
      <c r="E113" s="996"/>
      <c r="F113" s="996"/>
      <c r="G113" s="991"/>
      <c r="H113" s="124">
        <f>SUM(I113:O113)</f>
        <v>55000</v>
      </c>
      <c r="I113" s="74"/>
      <c r="J113" s="74"/>
      <c r="K113" s="74">
        <v>15000</v>
      </c>
      <c r="L113" s="74">
        <v>40000</v>
      </c>
      <c r="M113" s="75"/>
      <c r="N113" s="75"/>
      <c r="O113" s="88"/>
      <c r="P113" s="95"/>
    </row>
    <row r="114" spans="1:16" s="20" customFormat="1" ht="15.75">
      <c r="A114" s="1024">
        <v>25</v>
      </c>
      <c r="B114" s="995">
        <v>900</v>
      </c>
      <c r="C114" s="995">
        <v>90015</v>
      </c>
      <c r="D114" s="59" t="s">
        <v>141</v>
      </c>
      <c r="E114" s="995">
        <v>2009</v>
      </c>
      <c r="F114" s="995">
        <v>2010</v>
      </c>
      <c r="G114" s="990" t="s">
        <v>32</v>
      </c>
      <c r="H114" s="96"/>
      <c r="I114" s="85"/>
      <c r="J114" s="62"/>
      <c r="K114" s="62"/>
      <c r="L114" s="62"/>
      <c r="M114" s="63"/>
      <c r="N114" s="63"/>
      <c r="O114" s="64"/>
      <c r="P114" s="86"/>
    </row>
    <row r="115" spans="1:16" s="20" customFormat="1" ht="15.75">
      <c r="A115" s="1008"/>
      <c r="B115" s="996"/>
      <c r="C115" s="996"/>
      <c r="D115" s="66" t="s">
        <v>33</v>
      </c>
      <c r="E115" s="1021"/>
      <c r="F115" s="1021"/>
      <c r="G115" s="1018"/>
      <c r="H115" s="87">
        <f>SUM(I115:O115)</f>
        <v>125000</v>
      </c>
      <c r="I115" s="87"/>
      <c r="J115" s="87">
        <f>SUM(J116:J116)</f>
        <v>25000</v>
      </c>
      <c r="K115" s="87">
        <f>SUM(K116:K116)</f>
        <v>100000</v>
      </c>
      <c r="L115" s="74"/>
      <c r="M115" s="75"/>
      <c r="N115" s="75"/>
      <c r="O115" s="88"/>
      <c r="P115" s="65"/>
    </row>
    <row r="116" spans="1:16" s="20" customFormat="1" ht="15.75" thickBot="1">
      <c r="A116" s="1008"/>
      <c r="B116" s="996"/>
      <c r="C116" s="996"/>
      <c r="D116" s="71" t="s">
        <v>34</v>
      </c>
      <c r="E116" s="996"/>
      <c r="F116" s="996"/>
      <c r="G116" s="991"/>
      <c r="H116" s="124">
        <f>SUM(I116:O116)</f>
        <v>125000</v>
      </c>
      <c r="I116" s="74"/>
      <c r="J116" s="89">
        <v>25000</v>
      </c>
      <c r="K116" s="74">
        <v>100000</v>
      </c>
      <c r="L116" s="74"/>
      <c r="M116" s="75"/>
      <c r="N116" s="75"/>
      <c r="O116" s="88"/>
      <c r="P116" s="95"/>
    </row>
    <row r="117" spans="1:16" s="20" customFormat="1" ht="15.75">
      <c r="A117" s="1024">
        <v>26</v>
      </c>
      <c r="B117" s="995">
        <v>900</v>
      </c>
      <c r="C117" s="995">
        <v>90015</v>
      </c>
      <c r="D117" s="59" t="s">
        <v>142</v>
      </c>
      <c r="E117" s="995">
        <v>2009</v>
      </c>
      <c r="F117" s="995">
        <v>2010</v>
      </c>
      <c r="G117" s="990" t="s">
        <v>32</v>
      </c>
      <c r="H117" s="96"/>
      <c r="I117" s="85"/>
      <c r="J117" s="62"/>
      <c r="K117" s="62"/>
      <c r="L117" s="62"/>
      <c r="M117" s="63"/>
      <c r="N117" s="63"/>
      <c r="O117" s="64"/>
      <c r="P117" s="86"/>
    </row>
    <row r="118" spans="1:16" s="20" customFormat="1" ht="15.75">
      <c r="A118" s="1008"/>
      <c r="B118" s="996"/>
      <c r="C118" s="996"/>
      <c r="D118" s="66" t="s">
        <v>33</v>
      </c>
      <c r="E118" s="1021"/>
      <c r="F118" s="1021"/>
      <c r="G118" s="1018"/>
      <c r="H118" s="87">
        <f>SUM(I118:O118)</f>
        <v>96000</v>
      </c>
      <c r="I118" s="87"/>
      <c r="J118" s="87">
        <f>SUM(J119:J119)</f>
        <v>16000</v>
      </c>
      <c r="K118" s="87">
        <f>SUM(K119:K119)</f>
        <v>80000</v>
      </c>
      <c r="L118" s="74"/>
      <c r="M118" s="75"/>
      <c r="N118" s="75"/>
      <c r="O118" s="88"/>
      <c r="P118" s="65"/>
    </row>
    <row r="119" spans="1:16" s="20" customFormat="1" ht="15.75" thickBot="1">
      <c r="A119" s="1008"/>
      <c r="B119" s="996"/>
      <c r="C119" s="996"/>
      <c r="D119" s="71" t="s">
        <v>34</v>
      </c>
      <c r="E119" s="996"/>
      <c r="F119" s="996"/>
      <c r="G119" s="991"/>
      <c r="H119" s="124">
        <f>SUM(I119:O119)</f>
        <v>96000</v>
      </c>
      <c r="I119" s="74"/>
      <c r="J119" s="89">
        <v>16000</v>
      </c>
      <c r="K119" s="74">
        <v>80000</v>
      </c>
      <c r="L119" s="74"/>
      <c r="M119" s="75"/>
      <c r="N119" s="75"/>
      <c r="O119" s="88"/>
      <c r="P119" s="95"/>
    </row>
    <row r="120" spans="1:16" s="20" customFormat="1" ht="15.75">
      <c r="A120" s="1024">
        <v>27</v>
      </c>
      <c r="B120" s="995">
        <v>900</v>
      </c>
      <c r="C120" s="995">
        <v>90015</v>
      </c>
      <c r="D120" s="59" t="s">
        <v>143</v>
      </c>
      <c r="E120" s="995">
        <v>2010</v>
      </c>
      <c r="F120" s="995">
        <v>2011</v>
      </c>
      <c r="G120" s="990" t="s">
        <v>32</v>
      </c>
      <c r="H120" s="96"/>
      <c r="I120" s="85"/>
      <c r="J120" s="62"/>
      <c r="K120" s="62"/>
      <c r="L120" s="62"/>
      <c r="M120" s="63"/>
      <c r="N120" s="63"/>
      <c r="O120" s="64"/>
      <c r="P120" s="86"/>
    </row>
    <row r="121" spans="1:16" s="20" customFormat="1" ht="15.75">
      <c r="A121" s="1008"/>
      <c r="B121" s="996"/>
      <c r="C121" s="996"/>
      <c r="D121" s="66" t="s">
        <v>33</v>
      </c>
      <c r="E121" s="1021"/>
      <c r="F121" s="1021"/>
      <c r="G121" s="1018"/>
      <c r="H121" s="87">
        <f>SUM(I121:O121)</f>
        <v>110000</v>
      </c>
      <c r="I121" s="87"/>
      <c r="J121" s="87"/>
      <c r="K121" s="87">
        <f>SUM(K122:K122)</f>
        <v>20000</v>
      </c>
      <c r="L121" s="87">
        <f>SUM(L122:L122)</f>
        <v>90000</v>
      </c>
      <c r="M121" s="75"/>
      <c r="N121" s="75"/>
      <c r="O121" s="88"/>
      <c r="P121" s="65"/>
    </row>
    <row r="122" spans="1:16" s="20" customFormat="1" ht="15.75" thickBot="1">
      <c r="A122" s="1008"/>
      <c r="B122" s="996"/>
      <c r="C122" s="996"/>
      <c r="D122" s="71" t="s">
        <v>34</v>
      </c>
      <c r="E122" s="996"/>
      <c r="F122" s="996"/>
      <c r="G122" s="991"/>
      <c r="H122" s="124">
        <f>SUM(I122:O122)</f>
        <v>110000</v>
      </c>
      <c r="I122" s="74"/>
      <c r="J122" s="74"/>
      <c r="K122" s="74">
        <v>20000</v>
      </c>
      <c r="L122" s="74">
        <v>90000</v>
      </c>
      <c r="M122" s="75"/>
      <c r="N122" s="75"/>
      <c r="O122" s="88"/>
      <c r="P122" s="95"/>
    </row>
    <row r="123" spans="1:16" s="20" customFormat="1" ht="31.5">
      <c r="A123" s="1024">
        <v>28</v>
      </c>
      <c r="B123" s="995">
        <v>900</v>
      </c>
      <c r="C123" s="995">
        <v>90015</v>
      </c>
      <c r="D123" s="59" t="s">
        <v>144</v>
      </c>
      <c r="E123" s="995">
        <v>2010</v>
      </c>
      <c r="F123" s="995">
        <v>2011</v>
      </c>
      <c r="G123" s="990" t="s">
        <v>32</v>
      </c>
      <c r="H123" s="96"/>
      <c r="I123" s="85"/>
      <c r="J123" s="62"/>
      <c r="K123" s="62"/>
      <c r="L123" s="62"/>
      <c r="M123" s="63"/>
      <c r="N123" s="63"/>
      <c r="O123" s="64"/>
      <c r="P123" s="86"/>
    </row>
    <row r="124" spans="1:16" s="20" customFormat="1" ht="15.75">
      <c r="A124" s="1008"/>
      <c r="B124" s="996"/>
      <c r="C124" s="996"/>
      <c r="D124" s="66" t="s">
        <v>33</v>
      </c>
      <c r="E124" s="1021"/>
      <c r="F124" s="1021"/>
      <c r="G124" s="1018"/>
      <c r="H124" s="87">
        <f>SUM(I124:O124)</f>
        <v>60000</v>
      </c>
      <c r="I124" s="87"/>
      <c r="J124" s="87"/>
      <c r="K124" s="87">
        <f>SUM(K125:K125)</f>
        <v>15000</v>
      </c>
      <c r="L124" s="87">
        <f>SUM(L125:L125)</f>
        <v>45000</v>
      </c>
      <c r="M124" s="75"/>
      <c r="N124" s="75"/>
      <c r="O124" s="88"/>
      <c r="P124" s="65"/>
    </row>
    <row r="125" spans="1:16" s="20" customFormat="1" ht="15.75" thickBot="1">
      <c r="A125" s="1008"/>
      <c r="B125" s="996"/>
      <c r="C125" s="996"/>
      <c r="D125" s="71" t="s">
        <v>34</v>
      </c>
      <c r="E125" s="996"/>
      <c r="F125" s="996"/>
      <c r="G125" s="991"/>
      <c r="H125" s="124">
        <f>SUM(I125:O125)</f>
        <v>60000</v>
      </c>
      <c r="I125" s="74"/>
      <c r="J125" s="74"/>
      <c r="K125" s="74">
        <v>15000</v>
      </c>
      <c r="L125" s="74">
        <v>45000</v>
      </c>
      <c r="M125" s="75"/>
      <c r="N125" s="75"/>
      <c r="O125" s="88"/>
      <c r="P125" s="95"/>
    </row>
    <row r="126" spans="1:16" s="20" customFormat="1" ht="15.75">
      <c r="A126" s="1024">
        <v>29</v>
      </c>
      <c r="B126" s="995">
        <v>900</v>
      </c>
      <c r="C126" s="995">
        <v>90015</v>
      </c>
      <c r="D126" s="59" t="s">
        <v>145</v>
      </c>
      <c r="E126" s="995">
        <v>2010</v>
      </c>
      <c r="F126" s="995">
        <v>2011</v>
      </c>
      <c r="G126" s="990" t="s">
        <v>32</v>
      </c>
      <c r="H126" s="96"/>
      <c r="I126" s="85"/>
      <c r="J126" s="62"/>
      <c r="K126" s="62"/>
      <c r="L126" s="62"/>
      <c r="M126" s="63"/>
      <c r="N126" s="63"/>
      <c r="O126" s="64"/>
      <c r="P126" s="86"/>
    </row>
    <row r="127" spans="1:16" s="20" customFormat="1" ht="15.75">
      <c r="A127" s="1008"/>
      <c r="B127" s="996"/>
      <c r="C127" s="996"/>
      <c r="D127" s="66" t="s">
        <v>33</v>
      </c>
      <c r="E127" s="1021"/>
      <c r="F127" s="1021"/>
      <c r="G127" s="1018"/>
      <c r="H127" s="87">
        <f>SUM(I127:O127)</f>
        <v>105000</v>
      </c>
      <c r="I127" s="87"/>
      <c r="J127" s="87"/>
      <c r="K127" s="87">
        <f>SUM(K128:K128)</f>
        <v>25000</v>
      </c>
      <c r="L127" s="87">
        <f>SUM(L128:L128)</f>
        <v>80000</v>
      </c>
      <c r="M127" s="75"/>
      <c r="N127" s="75"/>
      <c r="O127" s="88"/>
      <c r="P127" s="65"/>
    </row>
    <row r="128" spans="1:16" s="20" customFormat="1" ht="15.75" thickBot="1">
      <c r="A128" s="1008"/>
      <c r="B128" s="996"/>
      <c r="C128" s="996"/>
      <c r="D128" s="71" t="s">
        <v>34</v>
      </c>
      <c r="E128" s="996"/>
      <c r="F128" s="996"/>
      <c r="G128" s="991"/>
      <c r="H128" s="124">
        <f>SUM(I128:O128)</f>
        <v>105000</v>
      </c>
      <c r="I128" s="74"/>
      <c r="J128" s="74"/>
      <c r="K128" s="74">
        <v>25000</v>
      </c>
      <c r="L128" s="74">
        <v>80000</v>
      </c>
      <c r="M128" s="75"/>
      <c r="N128" s="75"/>
      <c r="O128" s="88"/>
      <c r="P128" s="95"/>
    </row>
    <row r="129" spans="1:16" s="20" customFormat="1" ht="15.75">
      <c r="A129" s="1024">
        <v>30</v>
      </c>
      <c r="B129" s="995">
        <v>900</v>
      </c>
      <c r="C129" s="995">
        <v>90015</v>
      </c>
      <c r="D129" s="59" t="s">
        <v>146</v>
      </c>
      <c r="E129" s="995">
        <v>2009</v>
      </c>
      <c r="F129" s="995">
        <v>2010</v>
      </c>
      <c r="G129" s="990" t="s">
        <v>32</v>
      </c>
      <c r="H129" s="96"/>
      <c r="I129" s="85"/>
      <c r="J129" s="62"/>
      <c r="K129" s="62"/>
      <c r="L129" s="62"/>
      <c r="M129" s="63"/>
      <c r="N129" s="63"/>
      <c r="O129" s="64"/>
      <c r="P129" s="86"/>
    </row>
    <row r="130" spans="1:16" s="20" customFormat="1" ht="15.75">
      <c r="A130" s="1008"/>
      <c r="B130" s="996"/>
      <c r="C130" s="996"/>
      <c r="D130" s="66" t="s">
        <v>33</v>
      </c>
      <c r="E130" s="1021"/>
      <c r="F130" s="1021"/>
      <c r="G130" s="1018"/>
      <c r="H130" s="87">
        <f>SUM(I130:O130)</f>
        <v>46300</v>
      </c>
      <c r="I130" s="87"/>
      <c r="J130" s="87">
        <f>SUM(J131:J131)</f>
        <v>6300</v>
      </c>
      <c r="K130" s="87">
        <f>SUM(K131:K131)</f>
        <v>40000</v>
      </c>
      <c r="L130" s="74"/>
      <c r="M130" s="75"/>
      <c r="N130" s="75"/>
      <c r="O130" s="88"/>
      <c r="P130" s="65"/>
    </row>
    <row r="131" spans="1:16" s="20" customFormat="1" ht="15.75" thickBot="1">
      <c r="A131" s="1008"/>
      <c r="B131" s="996"/>
      <c r="C131" s="996"/>
      <c r="D131" s="71" t="s">
        <v>34</v>
      </c>
      <c r="E131" s="996"/>
      <c r="F131" s="996"/>
      <c r="G131" s="991"/>
      <c r="H131" s="124">
        <f>SUM(I131:O131)</f>
        <v>46300</v>
      </c>
      <c r="I131" s="74"/>
      <c r="J131" s="74">
        <v>6300</v>
      </c>
      <c r="K131" s="74">
        <v>40000</v>
      </c>
      <c r="L131" s="74"/>
      <c r="M131" s="75"/>
      <c r="N131" s="75"/>
      <c r="O131" s="88"/>
      <c r="P131" s="95"/>
    </row>
    <row r="132" spans="1:16" s="20" customFormat="1" ht="15.75">
      <c r="A132" s="1024">
        <v>31</v>
      </c>
      <c r="B132" s="995">
        <v>900</v>
      </c>
      <c r="C132" s="995">
        <v>90015</v>
      </c>
      <c r="D132" s="59" t="s">
        <v>147</v>
      </c>
      <c r="E132" s="995">
        <v>2010</v>
      </c>
      <c r="F132" s="995">
        <v>2011</v>
      </c>
      <c r="G132" s="990" t="s">
        <v>32</v>
      </c>
      <c r="H132" s="96"/>
      <c r="I132" s="85"/>
      <c r="J132" s="62"/>
      <c r="K132" s="62"/>
      <c r="L132" s="62"/>
      <c r="M132" s="63"/>
      <c r="N132" s="63"/>
      <c r="O132" s="64"/>
      <c r="P132" s="86"/>
    </row>
    <row r="133" spans="1:16" s="20" customFormat="1" ht="15.75">
      <c r="A133" s="1008"/>
      <c r="B133" s="996"/>
      <c r="C133" s="996"/>
      <c r="D133" s="66" t="s">
        <v>33</v>
      </c>
      <c r="E133" s="1021"/>
      <c r="F133" s="1021"/>
      <c r="G133" s="1018"/>
      <c r="H133" s="87">
        <f>SUM(I133:O133)</f>
        <v>45000</v>
      </c>
      <c r="I133" s="87"/>
      <c r="J133" s="87"/>
      <c r="K133" s="87">
        <f>SUM(K134:K134)</f>
        <v>15000</v>
      </c>
      <c r="L133" s="87">
        <f>SUM(L134:L134)</f>
        <v>30000</v>
      </c>
      <c r="M133" s="75"/>
      <c r="N133" s="75"/>
      <c r="O133" s="88"/>
      <c r="P133" s="65"/>
    </row>
    <row r="134" spans="1:16" s="20" customFormat="1" ht="15.75" thickBot="1">
      <c r="A134" s="1008"/>
      <c r="B134" s="996"/>
      <c r="C134" s="996"/>
      <c r="D134" s="71" t="s">
        <v>34</v>
      </c>
      <c r="E134" s="996"/>
      <c r="F134" s="996"/>
      <c r="G134" s="991"/>
      <c r="H134" s="124">
        <f>SUM(I134:O134)</f>
        <v>45000</v>
      </c>
      <c r="I134" s="74"/>
      <c r="J134" s="74"/>
      <c r="K134" s="74">
        <v>15000</v>
      </c>
      <c r="L134" s="74">
        <v>30000</v>
      </c>
      <c r="M134" s="75"/>
      <c r="N134" s="75"/>
      <c r="O134" s="88"/>
      <c r="P134" s="95"/>
    </row>
    <row r="135" spans="1:16" s="20" customFormat="1" ht="15.75">
      <c r="A135" s="1024">
        <v>32</v>
      </c>
      <c r="B135" s="995">
        <v>900</v>
      </c>
      <c r="C135" s="995">
        <v>90015</v>
      </c>
      <c r="D135" s="59" t="s">
        <v>57</v>
      </c>
      <c r="E135" s="995">
        <v>2008</v>
      </c>
      <c r="F135" s="995">
        <v>2011</v>
      </c>
      <c r="G135" s="990" t="s">
        <v>32</v>
      </c>
      <c r="H135" s="96"/>
      <c r="I135" s="85"/>
      <c r="J135" s="62"/>
      <c r="K135" s="62"/>
      <c r="L135" s="62"/>
      <c r="M135" s="63"/>
      <c r="N135" s="63"/>
      <c r="O135" s="64"/>
      <c r="P135" s="86"/>
    </row>
    <row r="136" spans="1:16" s="79" customFormat="1" ht="17.25" customHeight="1">
      <c r="A136" s="1008"/>
      <c r="B136" s="996"/>
      <c r="C136" s="996"/>
      <c r="D136" s="66" t="s">
        <v>33</v>
      </c>
      <c r="E136" s="1021"/>
      <c r="F136" s="1021"/>
      <c r="G136" s="1018"/>
      <c r="H136" s="87">
        <f>SUM(I136:O136)</f>
        <v>318388</v>
      </c>
      <c r="I136" s="87">
        <f>SUM(I137:I137)</f>
        <v>18388</v>
      </c>
      <c r="J136" s="87"/>
      <c r="K136" s="87">
        <f>SUM(K137:K137)</f>
        <v>150000</v>
      </c>
      <c r="L136" s="87">
        <f>SUM(L137:L137)</f>
        <v>150000</v>
      </c>
      <c r="M136" s="75"/>
      <c r="N136" s="75"/>
      <c r="O136" s="88"/>
      <c r="P136" s="65"/>
    </row>
    <row r="137" spans="1:16" s="20" customFormat="1" ht="15.75" thickBot="1">
      <c r="A137" s="1008"/>
      <c r="B137" s="996"/>
      <c r="C137" s="996"/>
      <c r="D137" s="71" t="s">
        <v>34</v>
      </c>
      <c r="E137" s="996"/>
      <c r="F137" s="996"/>
      <c r="G137" s="991"/>
      <c r="H137" s="124">
        <f>SUM(I137:O137)</f>
        <v>318388</v>
      </c>
      <c r="I137" s="74">
        <v>18388</v>
      </c>
      <c r="J137" s="74"/>
      <c r="K137" s="74">
        <v>150000</v>
      </c>
      <c r="L137" s="74">
        <v>150000</v>
      </c>
      <c r="M137" s="75"/>
      <c r="N137" s="75"/>
      <c r="O137" s="88"/>
      <c r="P137" s="65"/>
    </row>
    <row r="138" spans="1:16" s="20" customFormat="1" ht="17.25" thickBot="1" thickTop="1">
      <c r="A138" s="1050" t="s">
        <v>339</v>
      </c>
      <c r="B138" s="1051"/>
      <c r="C138" s="1051"/>
      <c r="D138" s="1051"/>
      <c r="E138" s="1051"/>
      <c r="F138" s="1051"/>
      <c r="G138" s="1051"/>
      <c r="H138" s="76">
        <f aca="true" t="shared" si="4" ref="H138:P138">H140</f>
        <v>6062340</v>
      </c>
      <c r="I138" s="76">
        <f>I140</f>
        <v>0</v>
      </c>
      <c r="J138" s="76">
        <f>J140</f>
        <v>154885</v>
      </c>
      <c r="K138" s="76">
        <f>K140</f>
        <v>1796305</v>
      </c>
      <c r="L138" s="76">
        <f t="shared" si="4"/>
        <v>4111150</v>
      </c>
      <c r="M138" s="76">
        <f t="shared" si="4"/>
        <v>0</v>
      </c>
      <c r="N138" s="76">
        <f t="shared" si="4"/>
        <v>0</v>
      </c>
      <c r="O138" s="76">
        <f t="shared" si="4"/>
        <v>0</v>
      </c>
      <c r="P138" s="736">
        <f t="shared" si="4"/>
        <v>0</v>
      </c>
    </row>
    <row r="139" spans="1:16" s="20" customFormat="1" ht="47.25">
      <c r="A139" s="1024">
        <v>33</v>
      </c>
      <c r="B139" s="995">
        <v>900</v>
      </c>
      <c r="C139" s="995">
        <v>90095</v>
      </c>
      <c r="D139" s="59" t="s">
        <v>343</v>
      </c>
      <c r="E139" s="995">
        <v>2009</v>
      </c>
      <c r="F139" s="995">
        <v>2011</v>
      </c>
      <c r="G139" s="990" t="s">
        <v>32</v>
      </c>
      <c r="H139" s="96"/>
      <c r="I139" s="85"/>
      <c r="J139" s="62"/>
      <c r="K139" s="62"/>
      <c r="L139" s="62"/>
      <c r="M139" s="63"/>
      <c r="N139" s="63"/>
      <c r="O139" s="64"/>
      <c r="P139" s="65"/>
    </row>
    <row r="140" spans="1:16" s="20" customFormat="1" ht="15.75">
      <c r="A140" s="1008"/>
      <c r="B140" s="996"/>
      <c r="C140" s="996"/>
      <c r="D140" s="66" t="s">
        <v>33</v>
      </c>
      <c r="E140" s="1021"/>
      <c r="F140" s="1021"/>
      <c r="G140" s="1018"/>
      <c r="H140" s="87">
        <f>SUM(I140:O140)</f>
        <v>6062340</v>
      </c>
      <c r="I140" s="68"/>
      <c r="J140" s="68">
        <f>SUM(J141:J143)</f>
        <v>154885</v>
      </c>
      <c r="K140" s="68">
        <f>SUM(K141:K143)</f>
        <v>1796305</v>
      </c>
      <c r="L140" s="68">
        <f>SUM(L141:L143)</f>
        <v>4111150</v>
      </c>
      <c r="M140" s="68"/>
      <c r="N140" s="75"/>
      <c r="O140" s="88"/>
      <c r="P140" s="65"/>
    </row>
    <row r="141" spans="1:16" s="20" customFormat="1" ht="15">
      <c r="A141" s="1008"/>
      <c r="B141" s="996"/>
      <c r="C141" s="996"/>
      <c r="D141" s="71" t="s">
        <v>34</v>
      </c>
      <c r="E141" s="996"/>
      <c r="F141" s="996"/>
      <c r="G141" s="991"/>
      <c r="H141" s="124">
        <f>SUM(I141:O141)</f>
        <v>80000</v>
      </c>
      <c r="I141" s="73"/>
      <c r="J141" s="74">
        <v>80000</v>
      </c>
      <c r="K141" s="74"/>
      <c r="L141" s="74"/>
      <c r="M141" s="75"/>
      <c r="N141" s="75"/>
      <c r="O141" s="88"/>
      <c r="P141" s="65"/>
    </row>
    <row r="142" spans="1:16" s="20" customFormat="1" ht="15">
      <c r="A142" s="1008"/>
      <c r="B142" s="996"/>
      <c r="C142" s="996"/>
      <c r="D142" s="71" t="s">
        <v>38</v>
      </c>
      <c r="E142" s="996"/>
      <c r="F142" s="996"/>
      <c r="G142" s="991"/>
      <c r="H142" s="124">
        <f>SUM(I142:O142)</f>
        <v>4422340</v>
      </c>
      <c r="I142" s="73"/>
      <c r="J142" s="74">
        <v>12652</v>
      </c>
      <c r="K142" s="74">
        <v>1526859</v>
      </c>
      <c r="L142" s="74">
        <v>2882829</v>
      </c>
      <c r="M142" s="75"/>
      <c r="N142" s="75"/>
      <c r="O142" s="88"/>
      <c r="P142" s="265">
        <v>0.85</v>
      </c>
    </row>
    <row r="143" spans="1:16" s="20" customFormat="1" ht="15.75" thickBot="1">
      <c r="A143" s="1008"/>
      <c r="B143" s="996"/>
      <c r="C143" s="996"/>
      <c r="D143" s="71" t="s">
        <v>40</v>
      </c>
      <c r="E143" s="996"/>
      <c r="F143" s="996"/>
      <c r="G143" s="991"/>
      <c r="H143" s="124">
        <f>SUM(I143:O143)</f>
        <v>1560000</v>
      </c>
      <c r="I143" s="73"/>
      <c r="J143" s="74">
        <v>62233</v>
      </c>
      <c r="K143" s="92">
        <v>269446</v>
      </c>
      <c r="L143" s="92">
        <v>1228321</v>
      </c>
      <c r="M143" s="75"/>
      <c r="N143" s="75"/>
      <c r="O143" s="88"/>
      <c r="P143" s="65"/>
    </row>
    <row r="144" spans="1:16" s="20" customFormat="1" ht="17.25" thickBot="1" thickTop="1">
      <c r="A144" s="1005" t="s">
        <v>58</v>
      </c>
      <c r="B144" s="1006"/>
      <c r="C144" s="1006"/>
      <c r="D144" s="1006"/>
      <c r="E144" s="1006"/>
      <c r="F144" s="1006"/>
      <c r="G144" s="1006"/>
      <c r="H144" s="55">
        <f>SUM(I144:O144)</f>
        <v>2518226</v>
      </c>
      <c r="I144" s="143">
        <f>SUM(I146,I150,I157)</f>
        <v>453172</v>
      </c>
      <c r="J144" s="143">
        <f>SUM(J146,J150,J157)</f>
        <v>315054</v>
      </c>
      <c r="K144" s="143">
        <f>SUM(K146,K150,K157)</f>
        <v>50000</v>
      </c>
      <c r="L144" s="143">
        <f>SUM(L146,L150,L157)</f>
        <v>850000</v>
      </c>
      <c r="M144" s="143">
        <f>SUM(M146,M150,M157)</f>
        <v>850000</v>
      </c>
      <c r="N144" s="144">
        <f>SUM(N146)</f>
        <v>0</v>
      </c>
      <c r="O144" s="144">
        <f>SUM(O146)</f>
        <v>0</v>
      </c>
      <c r="P144" s="57"/>
    </row>
    <row r="145" spans="1:16" s="20" customFormat="1" ht="15.75">
      <c r="A145" s="1024">
        <v>34</v>
      </c>
      <c r="B145" s="995">
        <v>900</v>
      </c>
      <c r="C145" s="995">
        <v>90095</v>
      </c>
      <c r="D145" s="59" t="s">
        <v>59</v>
      </c>
      <c r="E145" s="995">
        <v>2011</v>
      </c>
      <c r="F145" s="995">
        <v>2012</v>
      </c>
      <c r="G145" s="990" t="s">
        <v>32</v>
      </c>
      <c r="H145" s="96"/>
      <c r="I145" s="85"/>
      <c r="J145" s="62"/>
      <c r="K145" s="62"/>
      <c r="L145" s="62"/>
      <c r="M145" s="63"/>
      <c r="N145" s="63"/>
      <c r="O145" s="64"/>
      <c r="P145" s="86"/>
    </row>
    <row r="146" spans="1:16" s="20" customFormat="1" ht="15.75">
      <c r="A146" s="1008"/>
      <c r="B146" s="996"/>
      <c r="C146" s="996"/>
      <c r="D146" s="66" t="s">
        <v>33</v>
      </c>
      <c r="E146" s="1021"/>
      <c r="F146" s="1021"/>
      <c r="G146" s="1018"/>
      <c r="H146" s="87">
        <f>SUM(I146:O146)</f>
        <v>1700000</v>
      </c>
      <c r="I146" s="68"/>
      <c r="J146" s="68"/>
      <c r="K146" s="68"/>
      <c r="L146" s="68">
        <f>SUM(L147:L148)</f>
        <v>850000</v>
      </c>
      <c r="M146" s="68">
        <f>SUM(M147:M148)</f>
        <v>850000</v>
      </c>
      <c r="N146" s="75"/>
      <c r="O146" s="88"/>
      <c r="P146" s="65"/>
    </row>
    <row r="147" spans="1:16" s="20" customFormat="1" ht="15">
      <c r="A147" s="1008"/>
      <c r="B147" s="996"/>
      <c r="C147" s="996"/>
      <c r="D147" s="71" t="s">
        <v>34</v>
      </c>
      <c r="E147" s="996"/>
      <c r="F147" s="996"/>
      <c r="G147" s="991"/>
      <c r="H147" s="124">
        <f>SUM(I147:O147)</f>
        <v>850000</v>
      </c>
      <c r="I147" s="73"/>
      <c r="J147" s="74"/>
      <c r="K147" s="74"/>
      <c r="L147" s="74">
        <v>425000</v>
      </c>
      <c r="M147" s="75">
        <v>425000</v>
      </c>
      <c r="N147" s="75"/>
      <c r="O147" s="88"/>
      <c r="P147" s="65"/>
    </row>
    <row r="148" spans="1:16" s="20" customFormat="1" ht="15.75" thickBot="1">
      <c r="A148" s="1023"/>
      <c r="B148" s="1020"/>
      <c r="C148" s="1020"/>
      <c r="D148" s="90" t="s">
        <v>38</v>
      </c>
      <c r="E148" s="1020"/>
      <c r="F148" s="1020"/>
      <c r="G148" s="992"/>
      <c r="H148" s="142">
        <f>SUM(I148:O148)</f>
        <v>850000</v>
      </c>
      <c r="I148" s="91"/>
      <c r="J148" s="92"/>
      <c r="K148" s="92"/>
      <c r="L148" s="92">
        <v>425000</v>
      </c>
      <c r="M148" s="93">
        <v>425000</v>
      </c>
      <c r="N148" s="93"/>
      <c r="O148" s="94"/>
      <c r="P148" s="266">
        <v>0.5</v>
      </c>
    </row>
    <row r="149" spans="1:16" s="20" customFormat="1" ht="31.5">
      <c r="A149" s="1034">
        <v>35</v>
      </c>
      <c r="B149" s="1031">
        <v>900</v>
      </c>
      <c r="C149" s="1031">
        <v>90095</v>
      </c>
      <c r="D149" s="59" t="s">
        <v>300</v>
      </c>
      <c r="E149" s="1031">
        <v>2009</v>
      </c>
      <c r="F149" s="1031">
        <v>2010</v>
      </c>
      <c r="G149" s="1031" t="s">
        <v>32</v>
      </c>
      <c r="H149" s="130"/>
      <c r="I149" s="512"/>
      <c r="J149" s="99"/>
      <c r="K149" s="99"/>
      <c r="L149" s="99"/>
      <c r="M149" s="100"/>
      <c r="N149" s="100"/>
      <c r="O149" s="132"/>
      <c r="P149" s="737"/>
    </row>
    <row r="150" spans="1:16" s="20" customFormat="1" ht="15.75">
      <c r="A150" s="1035"/>
      <c r="B150" s="1032"/>
      <c r="C150" s="1032"/>
      <c r="D150" s="66" t="s">
        <v>33</v>
      </c>
      <c r="E150" s="1032"/>
      <c r="F150" s="1032"/>
      <c r="G150" s="1032"/>
      <c r="H150" s="87">
        <f>SUM(I150:O150)</f>
        <v>67000</v>
      </c>
      <c r="I150" s="73"/>
      <c r="J150" s="121">
        <f>SUM(J151)</f>
        <v>17000</v>
      </c>
      <c r="K150" s="121">
        <f>SUM(K151)</f>
        <v>50000</v>
      </c>
      <c r="L150" s="74"/>
      <c r="M150" s="75"/>
      <c r="N150" s="75"/>
      <c r="O150" s="88"/>
      <c r="P150" s="265"/>
    </row>
    <row r="151" spans="1:16" s="20" customFormat="1" ht="15.75" thickBot="1">
      <c r="A151" s="1036"/>
      <c r="B151" s="1033"/>
      <c r="C151" s="1033"/>
      <c r="D151" s="90" t="s">
        <v>34</v>
      </c>
      <c r="E151" s="1033"/>
      <c r="F151" s="1033"/>
      <c r="G151" s="1033"/>
      <c r="H151" s="142">
        <f>SUM(I151:O151)</f>
        <v>67000</v>
      </c>
      <c r="I151" s="91"/>
      <c r="J151" s="92">
        <v>17000</v>
      </c>
      <c r="K151" s="92">
        <v>50000</v>
      </c>
      <c r="L151" s="92"/>
      <c r="M151" s="93"/>
      <c r="N151" s="93"/>
      <c r="O151" s="94"/>
      <c r="P151" s="266"/>
    </row>
    <row r="152" spans="1:16" s="20" customFormat="1" ht="15.75">
      <c r="A152" s="999" t="s">
        <v>7</v>
      </c>
      <c r="B152" s="987" t="s">
        <v>0</v>
      </c>
      <c r="C152" s="987" t="s">
        <v>20</v>
      </c>
      <c r="D152" s="987" t="s">
        <v>21</v>
      </c>
      <c r="E152" s="1016" t="s">
        <v>22</v>
      </c>
      <c r="F152" s="1052"/>
      <c r="G152" s="987" t="s">
        <v>23</v>
      </c>
      <c r="H152" s="987" t="s">
        <v>24</v>
      </c>
      <c r="I152" s="1016" t="s">
        <v>25</v>
      </c>
      <c r="J152" s="1053"/>
      <c r="K152" s="1053"/>
      <c r="L152" s="1053"/>
      <c r="M152" s="1053"/>
      <c r="N152" s="1053"/>
      <c r="O152" s="1052"/>
      <c r="P152" s="1013" t="s">
        <v>26</v>
      </c>
    </row>
    <row r="153" spans="1:16" s="20" customFormat="1" ht="15.75">
      <c r="A153" s="1000"/>
      <c r="B153" s="988"/>
      <c r="C153" s="988"/>
      <c r="D153" s="988"/>
      <c r="E153" s="1002"/>
      <c r="F153" s="1012"/>
      <c r="G153" s="988"/>
      <c r="H153" s="988"/>
      <c r="I153" s="1055" t="s">
        <v>133</v>
      </c>
      <c r="J153" s="1055" t="s">
        <v>134</v>
      </c>
      <c r="K153" s="1056" t="s">
        <v>27</v>
      </c>
      <c r="L153" s="1057"/>
      <c r="M153" s="1057"/>
      <c r="N153" s="1057"/>
      <c r="O153" s="1058"/>
      <c r="P153" s="1014"/>
    </row>
    <row r="154" spans="1:16" s="20" customFormat="1" ht="33.75" customHeight="1" thickBot="1">
      <c r="A154" s="1001"/>
      <c r="B154" s="989"/>
      <c r="C154" s="989"/>
      <c r="D154" s="989"/>
      <c r="E154" s="114" t="s">
        <v>28</v>
      </c>
      <c r="F154" s="114" t="s">
        <v>29</v>
      </c>
      <c r="G154" s="989"/>
      <c r="H154" s="989"/>
      <c r="I154" s="989"/>
      <c r="J154" s="989"/>
      <c r="K154" s="115">
        <v>2010</v>
      </c>
      <c r="L154" s="116">
        <v>2011</v>
      </c>
      <c r="M154" s="116">
        <v>2012</v>
      </c>
      <c r="N154" s="116">
        <v>2013</v>
      </c>
      <c r="O154" s="117" t="s">
        <v>135</v>
      </c>
      <c r="P154" s="1054"/>
    </row>
    <row r="155" spans="1:16" s="20" customFormat="1" ht="15.75" thickBot="1">
      <c r="A155" s="136">
        <v>1</v>
      </c>
      <c r="B155" s="137">
        <v>2</v>
      </c>
      <c r="C155" s="137">
        <v>3</v>
      </c>
      <c r="D155" s="137">
        <v>4</v>
      </c>
      <c r="E155" s="138">
        <v>5</v>
      </c>
      <c r="F155" s="138">
        <v>6</v>
      </c>
      <c r="G155" s="138">
        <v>7</v>
      </c>
      <c r="H155" s="139">
        <v>8</v>
      </c>
      <c r="I155" s="138">
        <v>9</v>
      </c>
      <c r="J155" s="137">
        <v>10</v>
      </c>
      <c r="K155" s="137">
        <v>11</v>
      </c>
      <c r="L155" s="137">
        <v>12</v>
      </c>
      <c r="M155" s="137">
        <v>13</v>
      </c>
      <c r="N155" s="137">
        <v>14</v>
      </c>
      <c r="O155" s="140">
        <v>15</v>
      </c>
      <c r="P155" s="141">
        <v>16</v>
      </c>
    </row>
    <row r="156" spans="1:16" s="20" customFormat="1" ht="16.5" thickTop="1">
      <c r="A156" s="1034">
        <v>36</v>
      </c>
      <c r="B156" s="1031">
        <v>900</v>
      </c>
      <c r="C156" s="1031">
        <v>90095</v>
      </c>
      <c r="D156" s="134" t="s">
        <v>60</v>
      </c>
      <c r="E156" s="1031">
        <v>2008</v>
      </c>
      <c r="F156" s="1031">
        <v>2009</v>
      </c>
      <c r="G156" s="1031" t="s">
        <v>32</v>
      </c>
      <c r="H156" s="130"/>
      <c r="I156" s="512"/>
      <c r="J156" s="99"/>
      <c r="K156" s="99"/>
      <c r="L156" s="99"/>
      <c r="M156" s="100"/>
      <c r="N156" s="100"/>
      <c r="O156" s="132"/>
      <c r="P156" s="86"/>
    </row>
    <row r="157" spans="1:16" s="20" customFormat="1" ht="15.75">
      <c r="A157" s="1035"/>
      <c r="B157" s="1032"/>
      <c r="C157" s="1032"/>
      <c r="D157" s="66" t="s">
        <v>33</v>
      </c>
      <c r="E157" s="1032"/>
      <c r="F157" s="1032"/>
      <c r="G157" s="1032"/>
      <c r="H157" s="121">
        <f>SUM(H158:H159)</f>
        <v>751226</v>
      </c>
      <c r="I157" s="121">
        <f>SUM(I158:I159)</f>
        <v>453172</v>
      </c>
      <c r="J157" s="121">
        <f>SUM(J158:J159)</f>
        <v>298054</v>
      </c>
      <c r="K157" s="121"/>
      <c r="L157" s="121"/>
      <c r="M157" s="75"/>
      <c r="N157" s="75"/>
      <c r="O157" s="88"/>
      <c r="P157" s="65"/>
    </row>
    <row r="158" spans="1:16" s="20" customFormat="1" ht="15">
      <c r="A158" s="1035"/>
      <c r="B158" s="1032"/>
      <c r="C158" s="1032"/>
      <c r="D158" s="71" t="s">
        <v>34</v>
      </c>
      <c r="E158" s="1032"/>
      <c r="F158" s="1032"/>
      <c r="G158" s="1032"/>
      <c r="H158" s="124">
        <f>SUM(I158:O158)</f>
        <v>651226</v>
      </c>
      <c r="I158" s="74">
        <v>353172</v>
      </c>
      <c r="J158" s="74">
        <v>298054</v>
      </c>
      <c r="K158" s="74"/>
      <c r="L158" s="74"/>
      <c r="M158" s="75"/>
      <c r="N158" s="75"/>
      <c r="O158" s="88"/>
      <c r="P158" s="65"/>
    </row>
    <row r="159" spans="1:16" s="20" customFormat="1" ht="15.75" thickBot="1">
      <c r="A159" s="1036"/>
      <c r="B159" s="1033"/>
      <c r="C159" s="1033"/>
      <c r="D159" s="90" t="s">
        <v>40</v>
      </c>
      <c r="E159" s="1033"/>
      <c r="F159" s="1033"/>
      <c r="G159" s="1033"/>
      <c r="H159" s="142">
        <f>SUM(I159:O159)</f>
        <v>100000</v>
      </c>
      <c r="I159" s="92">
        <v>100000</v>
      </c>
      <c r="J159" s="92"/>
      <c r="K159" s="92"/>
      <c r="L159" s="92"/>
      <c r="M159" s="93"/>
      <c r="N159" s="93"/>
      <c r="O159" s="94"/>
      <c r="P159" s="95"/>
    </row>
    <row r="160" spans="1:16" s="20" customFormat="1" ht="17.25" thickBot="1" thickTop="1">
      <c r="A160" s="1050" t="s">
        <v>61</v>
      </c>
      <c r="B160" s="1051"/>
      <c r="C160" s="1051"/>
      <c r="D160" s="1051"/>
      <c r="E160" s="1051"/>
      <c r="F160" s="1051"/>
      <c r="G160" s="1051"/>
      <c r="H160" s="55">
        <f>SUM(I160:O160)</f>
        <v>1984160</v>
      </c>
      <c r="I160" s="76">
        <f>I162</f>
        <v>34160</v>
      </c>
      <c r="J160" s="76">
        <f aca="true" t="shared" si="5" ref="J160:O160">J162</f>
        <v>950000</v>
      </c>
      <c r="K160" s="76">
        <f t="shared" si="5"/>
        <v>500000</v>
      </c>
      <c r="L160" s="76">
        <f t="shared" si="5"/>
        <v>500000</v>
      </c>
      <c r="M160" s="76">
        <f t="shared" si="5"/>
        <v>0</v>
      </c>
      <c r="N160" s="76">
        <f t="shared" si="5"/>
        <v>0</v>
      </c>
      <c r="O160" s="76">
        <f t="shared" si="5"/>
        <v>0</v>
      </c>
      <c r="P160" s="150"/>
    </row>
    <row r="161" spans="1:16" s="20" customFormat="1" ht="15.75">
      <c r="A161" s="1059">
        <v>37</v>
      </c>
      <c r="B161" s="1062">
        <v>921</v>
      </c>
      <c r="C161" s="513"/>
      <c r="D161" s="514" t="s">
        <v>62</v>
      </c>
      <c r="E161" s="513"/>
      <c r="F161" s="513"/>
      <c r="G161" s="513"/>
      <c r="H161" s="80"/>
      <c r="I161" s="81"/>
      <c r="J161" s="81"/>
      <c r="K161" s="81"/>
      <c r="L161" s="81"/>
      <c r="M161" s="81"/>
      <c r="N161" s="81"/>
      <c r="O161" s="81"/>
      <c r="P161" s="515"/>
    </row>
    <row r="162" spans="1:16" s="20" customFormat="1" ht="15.75">
      <c r="A162" s="1060"/>
      <c r="B162" s="1032"/>
      <c r="C162" s="151">
        <v>92109</v>
      </c>
      <c r="D162" s="66" t="s">
        <v>33</v>
      </c>
      <c r="E162" s="738">
        <v>2008</v>
      </c>
      <c r="F162" s="151">
        <v>2011</v>
      </c>
      <c r="G162" s="151" t="s">
        <v>32</v>
      </c>
      <c r="H162" s="87">
        <f>SUM(I162:O162)</f>
        <v>1984160</v>
      </c>
      <c r="I162" s="83">
        <f>SUM(I163)</f>
        <v>34160</v>
      </c>
      <c r="J162" s="83">
        <f>SUM(J163)</f>
        <v>950000</v>
      </c>
      <c r="K162" s="83">
        <f>SUM(K163)</f>
        <v>500000</v>
      </c>
      <c r="L162" s="83">
        <f>SUM(L163)</f>
        <v>500000</v>
      </c>
      <c r="M162" s="82"/>
      <c r="N162" s="82"/>
      <c r="O162" s="82"/>
      <c r="P162" s="152"/>
    </row>
    <row r="163" spans="1:16" s="20" customFormat="1" ht="16.5" thickBot="1">
      <c r="A163" s="1061"/>
      <c r="B163" s="1063"/>
      <c r="C163" s="267"/>
      <c r="D163" s="146" t="s">
        <v>34</v>
      </c>
      <c r="E163" s="267"/>
      <c r="F163" s="267"/>
      <c r="G163" s="267"/>
      <c r="H163" s="147">
        <f>SUM(I163:O163)</f>
        <v>1984160</v>
      </c>
      <c r="I163" s="268">
        <v>34160</v>
      </c>
      <c r="J163" s="268">
        <v>950000</v>
      </c>
      <c r="K163" s="268">
        <v>500000</v>
      </c>
      <c r="L163" s="268">
        <v>500000</v>
      </c>
      <c r="M163" s="269"/>
      <c r="N163" s="269"/>
      <c r="O163" s="269"/>
      <c r="P163" s="270"/>
    </row>
    <row r="164" spans="1:16" s="20" customFormat="1" ht="17.25" thickBot="1" thickTop="1">
      <c r="A164" s="1005" t="s">
        <v>63</v>
      </c>
      <c r="B164" s="1006"/>
      <c r="C164" s="1006"/>
      <c r="D164" s="1006"/>
      <c r="E164" s="1006"/>
      <c r="F164" s="1006"/>
      <c r="G164" s="1006"/>
      <c r="H164" s="55">
        <f>SUM(I164:O164)</f>
        <v>2655739</v>
      </c>
      <c r="I164" s="77">
        <f>SUM(I166,I170,I173,I176)</f>
        <v>65239</v>
      </c>
      <c r="J164" s="77">
        <f>SUM(J166,J170,J173,J176)</f>
        <v>70500</v>
      </c>
      <c r="K164" s="77">
        <f>SUM(K166,K170,K173,K176)</f>
        <v>2520000</v>
      </c>
      <c r="L164" s="77">
        <f>SUM(L166,L170,L173,L176)</f>
        <v>0</v>
      </c>
      <c r="M164" s="77">
        <f>SUM(M166,M170,M173,M176)</f>
        <v>0</v>
      </c>
      <c r="N164" s="77">
        <f>SUM(N166,N170,N173,N176)</f>
        <v>0</v>
      </c>
      <c r="O164" s="77">
        <f>SUM(O166,O170,O173,O176)</f>
        <v>0</v>
      </c>
      <c r="P164" s="57"/>
    </row>
    <row r="165" spans="1:16" s="20" customFormat="1" ht="15.75">
      <c r="A165" s="1007">
        <v>38</v>
      </c>
      <c r="B165" s="995">
        <v>921</v>
      </c>
      <c r="C165" s="995">
        <v>92109</v>
      </c>
      <c r="D165" s="59" t="s">
        <v>64</v>
      </c>
      <c r="E165" s="995">
        <v>2006</v>
      </c>
      <c r="F165" s="995">
        <v>2010</v>
      </c>
      <c r="G165" s="990" t="s">
        <v>44</v>
      </c>
      <c r="H165" s="96"/>
      <c r="I165" s="85"/>
      <c r="J165" s="62"/>
      <c r="K165" s="62"/>
      <c r="L165" s="62"/>
      <c r="M165" s="62"/>
      <c r="N165" s="62"/>
      <c r="O165" s="112"/>
      <c r="P165" s="86"/>
    </row>
    <row r="166" spans="1:16" s="20" customFormat="1" ht="15.75">
      <c r="A166" s="1008"/>
      <c r="B166" s="996"/>
      <c r="C166" s="996"/>
      <c r="D166" s="66" t="s">
        <v>33</v>
      </c>
      <c r="E166" s="1021"/>
      <c r="F166" s="1021"/>
      <c r="G166" s="1018"/>
      <c r="H166" s="87">
        <f>SUM(H167:H168)</f>
        <v>1059760</v>
      </c>
      <c r="I166" s="87">
        <f>SUM(I167:I168)</f>
        <v>39760</v>
      </c>
      <c r="J166" s="87"/>
      <c r="K166" s="87">
        <f>SUM(K167:K168)</f>
        <v>1020000</v>
      </c>
      <c r="L166" s="74"/>
      <c r="M166" s="74"/>
      <c r="N166" s="74"/>
      <c r="O166" s="145"/>
      <c r="P166" s="65"/>
    </row>
    <row r="167" spans="1:16" s="20" customFormat="1" ht="15">
      <c r="A167" s="1008"/>
      <c r="B167" s="996"/>
      <c r="C167" s="996"/>
      <c r="D167" s="97" t="s">
        <v>34</v>
      </c>
      <c r="E167" s="1021"/>
      <c r="F167" s="1021"/>
      <c r="G167" s="1018"/>
      <c r="H167" s="124">
        <f>SUM(I167:O167)</f>
        <v>559760</v>
      </c>
      <c r="I167" s="73">
        <v>39760</v>
      </c>
      <c r="J167" s="73"/>
      <c r="K167" s="73">
        <v>520000</v>
      </c>
      <c r="L167" s="74"/>
      <c r="M167" s="74"/>
      <c r="N167" s="74"/>
      <c r="O167" s="145"/>
      <c r="P167" s="65"/>
    </row>
    <row r="168" spans="1:16" s="20" customFormat="1" ht="15.75" thickBot="1">
      <c r="A168" s="1008"/>
      <c r="B168" s="996"/>
      <c r="C168" s="996"/>
      <c r="D168" s="71" t="s">
        <v>38</v>
      </c>
      <c r="E168" s="1021"/>
      <c r="F168" s="1021"/>
      <c r="G168" s="1018"/>
      <c r="H168" s="142">
        <f>SUM(I168:O168)</f>
        <v>500000</v>
      </c>
      <c r="I168" s="91"/>
      <c r="J168" s="92"/>
      <c r="K168" s="92">
        <v>500000</v>
      </c>
      <c r="L168" s="92"/>
      <c r="M168" s="92"/>
      <c r="N168" s="92"/>
      <c r="O168" s="285"/>
      <c r="P168" s="266">
        <v>0.5</v>
      </c>
    </row>
    <row r="169" spans="1:16" s="20" customFormat="1" ht="47.25">
      <c r="A169" s="1034">
        <v>39</v>
      </c>
      <c r="B169" s="1031">
        <v>921</v>
      </c>
      <c r="C169" s="995">
        <v>92109</v>
      </c>
      <c r="D169" s="59" t="s">
        <v>344</v>
      </c>
      <c r="E169" s="995">
        <v>2009</v>
      </c>
      <c r="F169" s="995">
        <v>2010</v>
      </c>
      <c r="G169" s="995" t="s">
        <v>32</v>
      </c>
      <c r="H169" s="124"/>
      <c r="I169" s="73"/>
      <c r="J169" s="74"/>
      <c r="K169" s="74"/>
      <c r="L169" s="74"/>
      <c r="M169" s="74"/>
      <c r="N169" s="74"/>
      <c r="O169" s="145"/>
      <c r="P169" s="265"/>
    </row>
    <row r="170" spans="1:16" s="20" customFormat="1" ht="15.75">
      <c r="A170" s="1035"/>
      <c r="B170" s="1032"/>
      <c r="C170" s="996"/>
      <c r="D170" s="66" t="s">
        <v>33</v>
      </c>
      <c r="E170" s="1021"/>
      <c r="F170" s="1021"/>
      <c r="G170" s="1021"/>
      <c r="H170" s="87">
        <f>SUM(H171:H172)</f>
        <v>333000</v>
      </c>
      <c r="I170" s="73"/>
      <c r="J170" s="121">
        <f>SUM(J171)</f>
        <v>33000</v>
      </c>
      <c r="K170" s="121">
        <f>SUM(K171)</f>
        <v>300000</v>
      </c>
      <c r="L170" s="74"/>
      <c r="M170" s="74"/>
      <c r="N170" s="74"/>
      <c r="O170" s="145"/>
      <c r="P170" s="265"/>
    </row>
    <row r="171" spans="1:16" s="20" customFormat="1" ht="15.75" thickBot="1">
      <c r="A171" s="1036"/>
      <c r="B171" s="1033"/>
      <c r="C171" s="1020"/>
      <c r="D171" s="98" t="s">
        <v>34</v>
      </c>
      <c r="E171" s="1022"/>
      <c r="F171" s="1022"/>
      <c r="G171" s="1022"/>
      <c r="H171" s="142">
        <f>SUM(I171:O171)</f>
        <v>333000</v>
      </c>
      <c r="I171" s="73"/>
      <c r="J171" s="74">
        <v>33000</v>
      </c>
      <c r="K171" s="74">
        <v>300000</v>
      </c>
      <c r="L171" s="74"/>
      <c r="M171" s="74"/>
      <c r="N171" s="74"/>
      <c r="O171" s="145"/>
      <c r="P171" s="265"/>
    </row>
    <row r="172" spans="1:16" s="20" customFormat="1" ht="15.75">
      <c r="A172" s="1007">
        <v>40</v>
      </c>
      <c r="B172" s="995">
        <v>921</v>
      </c>
      <c r="C172" s="995">
        <v>92109</v>
      </c>
      <c r="D172" s="59" t="s">
        <v>301</v>
      </c>
      <c r="E172" s="995">
        <v>2009</v>
      </c>
      <c r="F172" s="995">
        <v>2010</v>
      </c>
      <c r="G172" s="995" t="s">
        <v>32</v>
      </c>
      <c r="H172" s="130"/>
      <c r="I172" s="512"/>
      <c r="J172" s="99"/>
      <c r="K172" s="99"/>
      <c r="L172" s="99"/>
      <c r="M172" s="99"/>
      <c r="N172" s="99"/>
      <c r="O172" s="739"/>
      <c r="P172" s="737"/>
    </row>
    <row r="173" spans="1:16" s="20" customFormat="1" ht="15.75">
      <c r="A173" s="1008"/>
      <c r="B173" s="996"/>
      <c r="C173" s="996"/>
      <c r="D173" s="66" t="s">
        <v>33</v>
      </c>
      <c r="E173" s="1021"/>
      <c r="F173" s="1021"/>
      <c r="G173" s="1021"/>
      <c r="H173" s="87">
        <f>SUM(H174:H180)</f>
        <v>3515958</v>
      </c>
      <c r="I173" s="73"/>
      <c r="J173" s="121">
        <f>SUM(J174)</f>
        <v>35000</v>
      </c>
      <c r="K173" s="121">
        <f>SUM(K174)</f>
        <v>500000</v>
      </c>
      <c r="L173" s="74"/>
      <c r="M173" s="74"/>
      <c r="N173" s="74"/>
      <c r="O173" s="145"/>
      <c r="P173" s="265"/>
    </row>
    <row r="174" spans="1:16" s="20" customFormat="1" ht="15.75" thickBot="1">
      <c r="A174" s="1008"/>
      <c r="B174" s="996"/>
      <c r="C174" s="1020"/>
      <c r="D174" s="98" t="s">
        <v>34</v>
      </c>
      <c r="E174" s="1022"/>
      <c r="F174" s="1022"/>
      <c r="G174" s="1022"/>
      <c r="H174" s="124">
        <f>SUM(I174:O174)</f>
        <v>535000</v>
      </c>
      <c r="I174" s="73"/>
      <c r="J174" s="74">
        <v>35000</v>
      </c>
      <c r="K174" s="74">
        <v>500000</v>
      </c>
      <c r="L174" s="74"/>
      <c r="M174" s="74"/>
      <c r="N174" s="74"/>
      <c r="O174" s="145"/>
      <c r="P174" s="265"/>
    </row>
    <row r="175" spans="1:16" s="20" customFormat="1" ht="15.75">
      <c r="A175" s="1007">
        <v>41</v>
      </c>
      <c r="B175" s="995">
        <v>921</v>
      </c>
      <c r="C175" s="1021">
        <v>92109</v>
      </c>
      <c r="D175" s="108" t="s">
        <v>65</v>
      </c>
      <c r="E175" s="1021">
        <v>2008</v>
      </c>
      <c r="F175" s="1021">
        <v>2010</v>
      </c>
      <c r="G175" s="1021" t="s">
        <v>32</v>
      </c>
      <c r="H175" s="96"/>
      <c r="I175" s="62"/>
      <c r="J175" s="62"/>
      <c r="K175" s="62"/>
      <c r="L175" s="62"/>
      <c r="M175" s="62"/>
      <c r="N175" s="62"/>
      <c r="O175" s="112"/>
      <c r="P175" s="1064" t="s">
        <v>340</v>
      </c>
    </row>
    <row r="176" spans="1:16" s="20" customFormat="1" ht="15.75">
      <c r="A176" s="1008"/>
      <c r="B176" s="996"/>
      <c r="C176" s="996"/>
      <c r="D176" s="66" t="s">
        <v>33</v>
      </c>
      <c r="E176" s="1021"/>
      <c r="F176" s="1021"/>
      <c r="G176" s="1021"/>
      <c r="H176" s="87">
        <f>SUM(H177:H178)</f>
        <v>727979</v>
      </c>
      <c r="I176" s="87">
        <f>SUM(I177:I178)</f>
        <v>25479</v>
      </c>
      <c r="J176" s="87">
        <f>SUM(J177:J178)</f>
        <v>2500</v>
      </c>
      <c r="K176" s="87">
        <f>SUM(K177:K178)</f>
        <v>700000</v>
      </c>
      <c r="L176" s="153"/>
      <c r="M176" s="153"/>
      <c r="N176" s="153"/>
      <c r="O176" s="154"/>
      <c r="P176" s="1065"/>
    </row>
    <row r="177" spans="1:16" s="20" customFormat="1" ht="15">
      <c r="A177" s="1008"/>
      <c r="B177" s="996"/>
      <c r="C177" s="996"/>
      <c r="D177" s="97" t="s">
        <v>34</v>
      </c>
      <c r="E177" s="1021"/>
      <c r="F177" s="1021"/>
      <c r="G177" s="1021"/>
      <c r="H177" s="124">
        <f>SUM(I177:O177)</f>
        <v>440504</v>
      </c>
      <c r="I177" s="74">
        <v>25479</v>
      </c>
      <c r="J177" s="74">
        <v>2000</v>
      </c>
      <c r="K177" s="74">
        <v>413025</v>
      </c>
      <c r="L177" s="153"/>
      <c r="M177" s="153"/>
      <c r="N177" s="153"/>
      <c r="O177" s="154"/>
      <c r="P177" s="1065"/>
    </row>
    <row r="178" spans="1:16" s="20" customFormat="1" ht="15.75" thickBot="1">
      <c r="A178" s="1041"/>
      <c r="B178" s="1042"/>
      <c r="C178" s="1042"/>
      <c r="D178" s="146" t="s">
        <v>38</v>
      </c>
      <c r="E178" s="1043"/>
      <c r="F178" s="1043"/>
      <c r="G178" s="1043"/>
      <c r="H178" s="147">
        <f>SUM(I178:O178)</f>
        <v>287475</v>
      </c>
      <c r="I178" s="148"/>
      <c r="J178" s="148">
        <v>500</v>
      </c>
      <c r="K178" s="148">
        <v>286975</v>
      </c>
      <c r="L178" s="148"/>
      <c r="M178" s="148"/>
      <c r="N178" s="148"/>
      <c r="O178" s="149"/>
      <c r="P178" s="1066"/>
    </row>
    <row r="179" spans="1:16" s="20" customFormat="1" ht="17.25" thickBot="1" thickTop="1">
      <c r="A179" s="1005" t="s">
        <v>341</v>
      </c>
      <c r="B179" s="1006"/>
      <c r="C179" s="1006"/>
      <c r="D179" s="1006"/>
      <c r="E179" s="1006"/>
      <c r="F179" s="1006"/>
      <c r="G179" s="1006"/>
      <c r="H179" s="55">
        <f>SUM(I179:O179)</f>
        <v>1525000</v>
      </c>
      <c r="I179" s="77">
        <f aca="true" t="shared" si="6" ref="I179:O179">SUM(I181)</f>
        <v>0</v>
      </c>
      <c r="J179" s="77">
        <f t="shared" si="6"/>
        <v>25000</v>
      </c>
      <c r="K179" s="77">
        <f t="shared" si="6"/>
        <v>1500000</v>
      </c>
      <c r="L179" s="77">
        <f t="shared" si="6"/>
        <v>0</v>
      </c>
      <c r="M179" s="77">
        <f t="shared" si="6"/>
        <v>0</v>
      </c>
      <c r="N179" s="77">
        <f t="shared" si="6"/>
        <v>0</v>
      </c>
      <c r="O179" s="77">
        <f t="shared" si="6"/>
        <v>0</v>
      </c>
      <c r="P179" s="57"/>
    </row>
    <row r="180" spans="1:16" s="20" customFormat="1" ht="39.75" customHeight="1">
      <c r="A180" s="1007">
        <v>42</v>
      </c>
      <c r="B180" s="995">
        <v>926</v>
      </c>
      <c r="C180" s="1021">
        <v>92601</v>
      </c>
      <c r="D180" s="59" t="s">
        <v>342</v>
      </c>
      <c r="E180" s="1021">
        <v>2009</v>
      </c>
      <c r="F180" s="1021">
        <v>2010</v>
      </c>
      <c r="G180" s="1021" t="s">
        <v>32</v>
      </c>
      <c r="H180" s="96"/>
      <c r="I180" s="62"/>
      <c r="J180" s="62"/>
      <c r="K180" s="62"/>
      <c r="L180" s="62"/>
      <c r="M180" s="62"/>
      <c r="N180" s="62"/>
      <c r="O180" s="112"/>
      <c r="P180" s="1064"/>
    </row>
    <row r="181" spans="1:16" s="20" customFormat="1" ht="15.75">
      <c r="A181" s="1008"/>
      <c r="B181" s="996"/>
      <c r="C181" s="996"/>
      <c r="D181" s="66" t="s">
        <v>33</v>
      </c>
      <c r="E181" s="1021"/>
      <c r="F181" s="1021"/>
      <c r="G181" s="1021"/>
      <c r="H181" s="87">
        <f>SUM(H182:H183)</f>
        <v>1525000</v>
      </c>
      <c r="I181" s="87"/>
      <c r="J181" s="87">
        <f>SUM(J182:J183)</f>
        <v>25000</v>
      </c>
      <c r="K181" s="87">
        <f>SUM(K182:K183)</f>
        <v>1500000</v>
      </c>
      <c r="L181" s="153"/>
      <c r="M181" s="153"/>
      <c r="N181" s="153"/>
      <c r="O181" s="154"/>
      <c r="P181" s="1065"/>
    </row>
    <row r="182" spans="1:16" s="20" customFormat="1" ht="15">
      <c r="A182" s="1008"/>
      <c r="B182" s="996"/>
      <c r="C182" s="996"/>
      <c r="D182" s="97" t="s">
        <v>34</v>
      </c>
      <c r="E182" s="1021"/>
      <c r="F182" s="1021"/>
      <c r="G182" s="1021"/>
      <c r="H182" s="124">
        <f aca="true" t="shared" si="7" ref="H182:H187">SUM(I182:O182)</f>
        <v>859000</v>
      </c>
      <c r="I182" s="74"/>
      <c r="J182" s="89">
        <v>25000</v>
      </c>
      <c r="K182" s="89">
        <v>834000</v>
      </c>
      <c r="L182" s="153"/>
      <c r="M182" s="153"/>
      <c r="N182" s="153"/>
      <c r="O182" s="154"/>
      <c r="P182" s="1065"/>
    </row>
    <row r="183" spans="1:16" s="20" customFormat="1" ht="15.75" thickBot="1">
      <c r="A183" s="1041"/>
      <c r="B183" s="1042"/>
      <c r="C183" s="1042"/>
      <c r="D183" s="146" t="s">
        <v>40</v>
      </c>
      <c r="E183" s="1043"/>
      <c r="F183" s="1043"/>
      <c r="G183" s="1043"/>
      <c r="H183" s="147">
        <f t="shared" si="7"/>
        <v>666000</v>
      </c>
      <c r="I183" s="148"/>
      <c r="J183" s="740"/>
      <c r="K183" s="740">
        <v>666000</v>
      </c>
      <c r="L183" s="148"/>
      <c r="M183" s="148"/>
      <c r="N183" s="148"/>
      <c r="O183" s="149"/>
      <c r="P183" s="1066"/>
    </row>
    <row r="184" spans="1:18" s="20" customFormat="1" ht="18.75" thickTop="1">
      <c r="A184" s="273"/>
      <c r="B184" s="155"/>
      <c r="C184" s="155"/>
      <c r="D184" s="274" t="s">
        <v>66</v>
      </c>
      <c r="E184" s="155"/>
      <c r="F184" s="155"/>
      <c r="G184" s="155"/>
      <c r="H184" s="275">
        <f t="shared" si="7"/>
        <v>147026754</v>
      </c>
      <c r="I184" s="276">
        <f>SUM(I8,I12,I29,I38,I50,I55,I60,I99,I104,I138,I144,I160,I164,I179)</f>
        <v>5781271</v>
      </c>
      <c r="J184" s="276">
        <f>SUM(J8,J12,J29,J38,J50,J55,J60,J99,J104,J138,J144,J160,J164,J179)</f>
        <v>14834744</v>
      </c>
      <c r="K184" s="276">
        <f>SUM(K8,K12,K29,K38,K50,K55,K60,K99,K104,K138,K144,K160,K164,K179)</f>
        <v>35538836</v>
      </c>
      <c r="L184" s="276">
        <f>SUM(L8,L12,L29,L38,L50,L55,L60,L99,L104,L138,L144,L160,L164,L179)</f>
        <v>33119150</v>
      </c>
      <c r="M184" s="276">
        <f>SUM(M8,M12,M29,M38,M50,M55,M60,M99,M104,M138,M144,M160,M164,M179)</f>
        <v>28602753</v>
      </c>
      <c r="N184" s="276">
        <f>SUM(N8,N12,N29,N38,N50,N55,N60,N99,N104,N138,N144,N160,N164)</f>
        <v>16150000</v>
      </c>
      <c r="O184" s="276">
        <f>SUM(O8,O12,O29,O38,O50,O55,O60,O99,O104,O138,O144,O160,O164,O179)</f>
        <v>13000000</v>
      </c>
      <c r="P184" s="165"/>
      <c r="R184" s="26"/>
    </row>
    <row r="185" spans="1:18" s="20" customFormat="1" ht="18">
      <c r="A185" s="164"/>
      <c r="B185" s="155"/>
      <c r="C185" s="155"/>
      <c r="D185" s="156" t="s">
        <v>67</v>
      </c>
      <c r="E185" s="155"/>
      <c r="F185" s="155"/>
      <c r="G185" s="155"/>
      <c r="H185" s="157">
        <f t="shared" si="7"/>
        <v>82852736</v>
      </c>
      <c r="I185" s="158">
        <f aca="true" t="shared" si="8" ref="I185:O185">SUM(I11,I15,I19,I23,I27,I32,I36,I41,I44,I53,I58,I63,I67,I71,I75,I79,I83,I86,I90,I93,)+SUM(I102,I107,I110,I113,I116,I119,I122,I125,I128,I131,I134,I137,I141,I147,I151,I158,I163,I167,I171,I174,I177,I182)</f>
        <v>5675704</v>
      </c>
      <c r="J185" s="158">
        <f t="shared" si="8"/>
        <v>10572264</v>
      </c>
      <c r="K185" s="158">
        <f t="shared" si="8"/>
        <v>21849115</v>
      </c>
      <c r="L185" s="158">
        <f t="shared" si="8"/>
        <v>15610800</v>
      </c>
      <c r="M185" s="158">
        <f t="shared" si="8"/>
        <v>14619853</v>
      </c>
      <c r="N185" s="158">
        <f t="shared" si="8"/>
        <v>11275000</v>
      </c>
      <c r="O185" s="158">
        <f t="shared" si="8"/>
        <v>3250000</v>
      </c>
      <c r="P185" s="165"/>
      <c r="R185" s="26"/>
    </row>
    <row r="186" spans="1:18" ht="18">
      <c r="A186" s="164"/>
      <c r="B186" s="155"/>
      <c r="C186" s="155"/>
      <c r="D186" s="156" t="s">
        <v>68</v>
      </c>
      <c r="E186" s="155"/>
      <c r="F186" s="155"/>
      <c r="G186" s="155"/>
      <c r="H186" s="157">
        <f t="shared" si="7"/>
        <v>55986192</v>
      </c>
      <c r="I186" s="158">
        <f aca="true" t="shared" si="9" ref="I186:N186">SUM(I16,I24,I33,I37,I54,I59,I64,I68,I72,I76,I80,I87,I94,I103,I142,I148,I168,I178)</f>
        <v>5567</v>
      </c>
      <c r="J186" s="158">
        <f t="shared" si="9"/>
        <v>190404</v>
      </c>
      <c r="K186" s="158">
        <f t="shared" si="9"/>
        <v>10902292</v>
      </c>
      <c r="L186" s="158">
        <f t="shared" si="9"/>
        <v>16280029</v>
      </c>
      <c r="M186" s="158">
        <f t="shared" si="9"/>
        <v>13982900</v>
      </c>
      <c r="N186" s="158">
        <f t="shared" si="9"/>
        <v>4875000</v>
      </c>
      <c r="O186" s="158">
        <f>SUM(O16,O24,O33,O37,O54,O59,O64,O68,O72,O76,O80,O87,O94,O103,O142,O148,O168,O183)</f>
        <v>9750000</v>
      </c>
      <c r="P186" s="166"/>
      <c r="R186" s="26"/>
    </row>
    <row r="187" spans="1:18" ht="18.75" thickBot="1">
      <c r="A187" s="167"/>
      <c r="B187" s="168"/>
      <c r="C187" s="168"/>
      <c r="D187" s="169" t="s">
        <v>69</v>
      </c>
      <c r="E187" s="168"/>
      <c r="F187" s="168"/>
      <c r="G187" s="168"/>
      <c r="H187" s="170">
        <f t="shared" si="7"/>
        <v>8187826</v>
      </c>
      <c r="I187" s="171">
        <f>SUM(I20,I28,I45,I143,I159,I183)</f>
        <v>100000</v>
      </c>
      <c r="J187" s="171">
        <f>SUM(J20,J28,J45,J143,J159,J183)</f>
        <v>4072076</v>
      </c>
      <c r="K187" s="171">
        <f>SUM(K20,K28,K45,K143,K159,K183)</f>
        <v>2787429</v>
      </c>
      <c r="L187" s="171">
        <f>SUM(L20,L28,L45,L143,L159,L183)</f>
        <v>1228321</v>
      </c>
      <c r="M187" s="171">
        <f>SUM(M20,M28,M45,M143,M159)</f>
        <v>0</v>
      </c>
      <c r="N187" s="171">
        <f>SUM(N20,N28,N45,N143,N159)</f>
        <v>0</v>
      </c>
      <c r="O187" s="171">
        <f>SUM(O20,O28,O45,O143,O159)</f>
        <v>0</v>
      </c>
      <c r="P187" s="172"/>
      <c r="R187" s="26"/>
    </row>
    <row r="188" spans="1:17" s="20" customFormat="1" ht="23.25">
      <c r="A188" s="1028"/>
      <c r="B188" s="1028"/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44"/>
      <c r="Q188" s="26"/>
    </row>
    <row r="189" spans="1:16" s="20" customFormat="1" ht="12.75">
      <c r="A189" s="159"/>
      <c r="B189" s="159"/>
      <c r="C189" s="159"/>
      <c r="D189" s="43"/>
      <c r="E189" s="160"/>
      <c r="F189" s="160"/>
      <c r="G189" s="160"/>
      <c r="H189" s="161"/>
      <c r="I189" s="161"/>
      <c r="J189" s="161"/>
      <c r="K189" s="161"/>
      <c r="L189" s="161"/>
      <c r="M189" s="161"/>
      <c r="N189" s="161"/>
      <c r="O189" s="161"/>
      <c r="P189" s="44"/>
    </row>
    <row r="190" spans="1:16" s="228" customFormat="1" ht="12.75">
      <c r="A190" s="159"/>
      <c r="B190" s="159"/>
      <c r="C190" s="159"/>
      <c r="D190" s="42"/>
      <c r="E190" s="160"/>
      <c r="F190" s="160"/>
      <c r="G190" s="160" t="s">
        <v>353</v>
      </c>
      <c r="H190" s="161">
        <f>SUM(I190:O190)</f>
        <v>82852736</v>
      </c>
      <c r="I190" s="161">
        <f>SUM(I11+I15+I19+I23+I27+I32+I36+I41+I44+I53+I58+I63+I67+I71+I75+I79+I83+I86+I90+I93+I102+I107+I110+I113+I116+I119+I122+I125+I128+I131+I134+I137+I141+I147+I151+I158+I163+I167+I171+I174+I177+I182)</f>
        <v>5675704</v>
      </c>
      <c r="J190" s="161">
        <f aca="true" t="shared" si="10" ref="J190:O190">SUM(J11+J15+J19+J23+J27+J32+J36+J41+J44+J53+J58+J63+J67+J71+J75+J79+J83+J86+J90+J93+J102+J107+J110+J113+J116+J119+J122+J125+J128+J131+J134+J137+J141+J147+J151+J158+J163+J167+J171+J174+J177+J182)</f>
        <v>10572264</v>
      </c>
      <c r="K190" s="161">
        <f t="shared" si="10"/>
        <v>21849115</v>
      </c>
      <c r="L190" s="161">
        <f t="shared" si="10"/>
        <v>15610800</v>
      </c>
      <c r="M190" s="161">
        <f t="shared" si="10"/>
        <v>14619853</v>
      </c>
      <c r="N190" s="161">
        <f t="shared" si="10"/>
        <v>11275000</v>
      </c>
      <c r="O190" s="161">
        <f t="shared" si="10"/>
        <v>3250000</v>
      </c>
      <c r="P190" s="44"/>
    </row>
    <row r="191" spans="1:16" s="20" customFormat="1" ht="12.75">
      <c r="A191" s="159"/>
      <c r="B191" s="159"/>
      <c r="C191" s="159"/>
      <c r="D191" s="42"/>
      <c r="E191" s="160"/>
      <c r="F191" s="160"/>
      <c r="H191" s="161">
        <f>SUM(H185-H190)</f>
        <v>0</v>
      </c>
      <c r="I191" s="161">
        <f>SUM(I185-I190)</f>
        <v>0</v>
      </c>
      <c r="J191" s="161">
        <f aca="true" t="shared" si="11" ref="J191:O191">SUM(J185-J190)</f>
        <v>0</v>
      </c>
      <c r="K191" s="161">
        <f t="shared" si="11"/>
        <v>0</v>
      </c>
      <c r="L191" s="161">
        <f t="shared" si="11"/>
        <v>0</v>
      </c>
      <c r="M191" s="161">
        <f t="shared" si="11"/>
        <v>0</v>
      </c>
      <c r="N191" s="161">
        <f t="shared" si="11"/>
        <v>0</v>
      </c>
      <c r="O191" s="161">
        <f t="shared" si="11"/>
        <v>0</v>
      </c>
      <c r="P191" s="162"/>
    </row>
    <row r="192" spans="1:16" s="20" customFormat="1" ht="12.75">
      <c r="A192" s="159"/>
      <c r="B192" s="159"/>
      <c r="C192" s="159"/>
      <c r="D192" s="42"/>
      <c r="E192" s="160"/>
      <c r="F192" s="160"/>
      <c r="G192" s="160" t="s">
        <v>354</v>
      </c>
      <c r="H192" s="161">
        <f>SUM(I192:O192)</f>
        <v>55986192</v>
      </c>
      <c r="I192" s="161">
        <f>SUM(I16+I24+I33+I37+I54+I59+I64+I68+I72+I76+I80+I87+I94+I103+I142+I148+I168+I178)</f>
        <v>5567</v>
      </c>
      <c r="J192" s="161">
        <f aca="true" t="shared" si="12" ref="J192:O192">SUM(J16+J24+J33+J37+J54+J59+J64+J68+J72+J76+J80+J87+J94+J103+J142+J148+J168+J178)</f>
        <v>190404</v>
      </c>
      <c r="K192" s="161">
        <f t="shared" si="12"/>
        <v>10902292</v>
      </c>
      <c r="L192" s="161">
        <f t="shared" si="12"/>
        <v>16280029</v>
      </c>
      <c r="M192" s="161">
        <f t="shared" si="12"/>
        <v>13982900</v>
      </c>
      <c r="N192" s="161">
        <f t="shared" si="12"/>
        <v>4875000</v>
      </c>
      <c r="O192" s="161">
        <f t="shared" si="12"/>
        <v>9750000</v>
      </c>
      <c r="P192" s="162"/>
    </row>
    <row r="193" spans="1:16" s="20" customFormat="1" ht="12.75">
      <c r="A193" s="159"/>
      <c r="B193" s="159"/>
      <c r="C193" s="159"/>
      <c r="D193" s="42"/>
      <c r="E193" s="160"/>
      <c r="F193" s="160"/>
      <c r="H193" s="277">
        <f>SUM(H186-H192)</f>
        <v>0</v>
      </c>
      <c r="I193" s="277">
        <f aca="true" t="shared" si="13" ref="I193:O193">SUM(I186-I192)</f>
        <v>0</v>
      </c>
      <c r="J193" s="277">
        <f t="shared" si="13"/>
        <v>0</v>
      </c>
      <c r="K193" s="277">
        <f t="shared" si="13"/>
        <v>0</v>
      </c>
      <c r="L193" s="277">
        <f t="shared" si="13"/>
        <v>0</v>
      </c>
      <c r="M193" s="277">
        <f t="shared" si="13"/>
        <v>0</v>
      </c>
      <c r="N193" s="277">
        <f t="shared" si="13"/>
        <v>0</v>
      </c>
      <c r="O193" s="277">
        <f t="shared" si="13"/>
        <v>0</v>
      </c>
      <c r="P193" s="162"/>
    </row>
    <row r="194" spans="7:15" ht="26.25">
      <c r="G194" s="160" t="s">
        <v>40</v>
      </c>
      <c r="H194" s="277">
        <f>SUM(I194:O194)</f>
        <v>8187826</v>
      </c>
      <c r="I194" s="277">
        <f>SUM(I20+I28+I45+I143+I159+I183)</f>
        <v>100000</v>
      </c>
      <c r="J194" s="277">
        <f aca="true" t="shared" si="14" ref="J194:O194">SUM(J20+J28+J45+J143+J159+J183)</f>
        <v>4072076</v>
      </c>
      <c r="K194" s="277">
        <f t="shared" si="14"/>
        <v>2787429</v>
      </c>
      <c r="L194" s="277">
        <f t="shared" si="14"/>
        <v>1228321</v>
      </c>
      <c r="M194" s="277">
        <f t="shared" si="14"/>
        <v>0</v>
      </c>
      <c r="N194" s="277">
        <f t="shared" si="14"/>
        <v>0</v>
      </c>
      <c r="O194" s="277">
        <f t="shared" si="14"/>
        <v>0</v>
      </c>
    </row>
    <row r="195" spans="8:15" ht="26.25">
      <c r="H195" s="277">
        <f>SUM(H194-H187)</f>
        <v>0</v>
      </c>
      <c r="I195" s="277">
        <f aca="true" t="shared" si="15" ref="I195:O195">SUM(I194-I187)</f>
        <v>0</v>
      </c>
      <c r="J195" s="277">
        <f t="shared" si="15"/>
        <v>0</v>
      </c>
      <c r="K195" s="277">
        <f t="shared" si="15"/>
        <v>0</v>
      </c>
      <c r="L195" s="277">
        <f t="shared" si="15"/>
        <v>0</v>
      </c>
      <c r="M195" s="277">
        <f t="shared" si="15"/>
        <v>0</v>
      </c>
      <c r="N195" s="277">
        <f t="shared" si="15"/>
        <v>0</v>
      </c>
      <c r="O195" s="277">
        <f t="shared" si="15"/>
        <v>0</v>
      </c>
    </row>
    <row r="196" spans="8:15" ht="26.25">
      <c r="H196" s="277">
        <f>SUM(H190+H192+H194)</f>
        <v>147026754</v>
      </c>
      <c r="I196" s="277">
        <f aca="true" t="shared" si="16" ref="I196:O196">SUM(I190+I192+I194)</f>
        <v>5781271</v>
      </c>
      <c r="J196" s="277">
        <f t="shared" si="16"/>
        <v>14834744</v>
      </c>
      <c r="K196" s="277">
        <f t="shared" si="16"/>
        <v>35538836</v>
      </c>
      <c r="L196" s="277">
        <f t="shared" si="16"/>
        <v>33119150</v>
      </c>
      <c r="M196" s="277">
        <f t="shared" si="16"/>
        <v>28602753</v>
      </c>
      <c r="N196" s="277">
        <f t="shared" si="16"/>
        <v>16150000</v>
      </c>
      <c r="O196" s="277">
        <f t="shared" si="16"/>
        <v>13000000</v>
      </c>
    </row>
    <row r="197" spans="8:15" ht="26.25">
      <c r="H197" s="277">
        <f>SUM(H184-H196)</f>
        <v>0</v>
      </c>
      <c r="I197" s="277">
        <f aca="true" t="shared" si="17" ref="I197:O197">SUM(I184-I196)</f>
        <v>0</v>
      </c>
      <c r="J197" s="277">
        <f t="shared" si="17"/>
        <v>0</v>
      </c>
      <c r="K197" s="277">
        <f t="shared" si="17"/>
        <v>0</v>
      </c>
      <c r="L197" s="277">
        <f t="shared" si="17"/>
        <v>0</v>
      </c>
      <c r="M197" s="277">
        <f t="shared" si="17"/>
        <v>0</v>
      </c>
      <c r="N197" s="277">
        <f t="shared" si="17"/>
        <v>0</v>
      </c>
      <c r="O197" s="277">
        <f t="shared" si="17"/>
        <v>0</v>
      </c>
    </row>
    <row r="198" spans="8:15" ht="26.25">
      <c r="H198" s="277"/>
      <c r="J198" s="277"/>
      <c r="K198" s="277"/>
      <c r="L198" s="277"/>
      <c r="M198" s="277"/>
      <c r="N198" s="277"/>
      <c r="O198" s="277"/>
    </row>
    <row r="199" spans="8:15" ht="26.25">
      <c r="H199" s="277"/>
      <c r="J199" s="277"/>
      <c r="K199" s="277"/>
      <c r="L199" s="277"/>
      <c r="M199" s="277"/>
      <c r="N199" s="277"/>
      <c r="O199" s="277"/>
    </row>
    <row r="200" spans="12:13" ht="26.25">
      <c r="L200" s="280"/>
      <c r="M200" s="280"/>
    </row>
    <row r="201" spans="12:13" ht="26.25">
      <c r="L201" s="280"/>
      <c r="M201" s="280"/>
    </row>
    <row r="202" spans="12:13" ht="26.25">
      <c r="L202" s="280"/>
      <c r="M202" s="280"/>
    </row>
    <row r="203" spans="12:13" ht="26.25">
      <c r="L203" s="280"/>
      <c r="M203" s="280"/>
    </row>
    <row r="204" spans="12:13" ht="26.25">
      <c r="L204" s="280"/>
      <c r="M204" s="280"/>
    </row>
    <row r="205" spans="12:13" ht="26.25">
      <c r="L205" s="280"/>
      <c r="M205" s="280"/>
    </row>
    <row r="206" spans="12:13" ht="26.25">
      <c r="L206" s="280"/>
      <c r="M206" s="280"/>
    </row>
    <row r="207" spans="12:13" ht="26.25">
      <c r="L207" s="280"/>
      <c r="M207" s="280"/>
    </row>
    <row r="208" spans="12:13" ht="26.25">
      <c r="L208" s="280"/>
      <c r="M208" s="280"/>
    </row>
    <row r="209" spans="12:13" ht="26.25">
      <c r="L209" s="280"/>
      <c r="M209" s="280"/>
    </row>
    <row r="210" spans="12:13" ht="26.25">
      <c r="L210" s="280"/>
      <c r="M210" s="280"/>
    </row>
    <row r="211" spans="12:13" ht="26.25">
      <c r="L211" s="280"/>
      <c r="M211" s="280"/>
    </row>
    <row r="212" spans="12:13" ht="26.25">
      <c r="L212" s="280"/>
      <c r="M212" s="280"/>
    </row>
    <row r="213" spans="12:13" ht="26.25">
      <c r="L213" s="280"/>
      <c r="M213" s="280"/>
    </row>
    <row r="214" spans="12:13" ht="26.25">
      <c r="L214" s="280"/>
      <c r="M214" s="280"/>
    </row>
    <row r="215" spans="12:13" ht="26.25">
      <c r="L215" s="280"/>
      <c r="M215" s="280"/>
    </row>
    <row r="216" spans="12:13" ht="26.25">
      <c r="L216" s="280"/>
      <c r="M216" s="280"/>
    </row>
    <row r="217" spans="12:13" ht="26.25">
      <c r="L217" s="280"/>
      <c r="M217" s="280"/>
    </row>
    <row r="218" spans="12:13" ht="26.25">
      <c r="L218" s="280"/>
      <c r="M218" s="280"/>
    </row>
    <row r="219" spans="12:13" ht="26.25">
      <c r="L219" s="280"/>
      <c r="M219" s="280"/>
    </row>
    <row r="220" spans="12:13" ht="26.25">
      <c r="L220" s="280"/>
      <c r="M220" s="280"/>
    </row>
    <row r="221" spans="12:13" ht="26.25">
      <c r="L221" s="280"/>
      <c r="M221" s="280"/>
    </row>
    <row r="222" spans="12:13" ht="26.25">
      <c r="L222" s="280"/>
      <c r="M222" s="280"/>
    </row>
    <row r="223" spans="12:13" ht="26.25">
      <c r="L223" s="280"/>
      <c r="M223" s="280"/>
    </row>
    <row r="224" spans="12:13" ht="26.25">
      <c r="L224" s="280"/>
      <c r="M224" s="280"/>
    </row>
    <row r="225" spans="12:13" ht="26.25">
      <c r="L225" s="280"/>
      <c r="M225" s="280"/>
    </row>
    <row r="226" spans="12:13" ht="26.25">
      <c r="L226" s="280"/>
      <c r="M226" s="280"/>
    </row>
    <row r="227" spans="12:13" ht="26.25">
      <c r="L227" s="280"/>
      <c r="M227" s="280"/>
    </row>
    <row r="228" spans="12:13" ht="26.25">
      <c r="L228" s="280"/>
      <c r="M228" s="280"/>
    </row>
    <row r="229" spans="12:13" ht="26.25">
      <c r="L229" s="280"/>
      <c r="M229" s="280"/>
    </row>
    <row r="230" spans="12:13" ht="26.25">
      <c r="L230" s="280"/>
      <c r="M230" s="280"/>
    </row>
    <row r="231" spans="12:13" ht="26.25">
      <c r="L231" s="280"/>
      <c r="M231" s="280"/>
    </row>
    <row r="232" spans="12:13" ht="26.25">
      <c r="L232" s="280"/>
      <c r="M232" s="280"/>
    </row>
    <row r="233" spans="12:13" ht="26.25">
      <c r="L233" s="280"/>
      <c r="M233" s="280"/>
    </row>
    <row r="234" spans="12:13" ht="26.25">
      <c r="L234" s="280"/>
      <c r="M234" s="280"/>
    </row>
    <row r="235" spans="12:13" ht="26.25">
      <c r="L235" s="280"/>
      <c r="M235" s="280"/>
    </row>
    <row r="236" spans="12:13" ht="26.25">
      <c r="L236" s="280"/>
      <c r="M236" s="280"/>
    </row>
    <row r="237" spans="12:13" ht="26.25">
      <c r="L237" s="280"/>
      <c r="M237" s="280"/>
    </row>
    <row r="238" spans="12:13" ht="26.25">
      <c r="L238" s="280"/>
      <c r="M238" s="280"/>
    </row>
    <row r="239" spans="12:13" ht="26.25">
      <c r="L239" s="280"/>
      <c r="M239" s="280"/>
    </row>
    <row r="240" spans="12:13" ht="26.25">
      <c r="L240" s="280"/>
      <c r="M240" s="280"/>
    </row>
    <row r="241" spans="12:13" ht="26.25">
      <c r="L241" s="280"/>
      <c r="M241" s="280"/>
    </row>
    <row r="242" spans="12:13" ht="26.25">
      <c r="L242" s="280"/>
      <c r="M242" s="280"/>
    </row>
    <row r="243" spans="12:13" ht="26.25">
      <c r="L243" s="280"/>
      <c r="M243" s="280"/>
    </row>
    <row r="244" spans="12:13" ht="26.25">
      <c r="L244" s="280"/>
      <c r="M244" s="280"/>
    </row>
    <row r="245" spans="12:13" ht="26.25">
      <c r="L245" s="280"/>
      <c r="M245" s="280"/>
    </row>
    <row r="246" spans="12:13" ht="26.25">
      <c r="L246" s="280"/>
      <c r="M246" s="280"/>
    </row>
    <row r="247" spans="12:13" ht="26.25">
      <c r="L247" s="280"/>
      <c r="M247" s="280"/>
    </row>
    <row r="248" spans="12:13" ht="26.25">
      <c r="L248" s="280"/>
      <c r="M248" s="280"/>
    </row>
    <row r="249" spans="12:13" ht="26.25">
      <c r="L249" s="280"/>
      <c r="M249" s="280"/>
    </row>
    <row r="250" spans="12:13" ht="26.25">
      <c r="L250" s="280"/>
      <c r="M250" s="280"/>
    </row>
    <row r="251" spans="12:13" ht="26.25">
      <c r="L251" s="280"/>
      <c r="M251" s="280"/>
    </row>
    <row r="252" spans="12:13" ht="26.25">
      <c r="L252" s="280"/>
      <c r="M252" s="280"/>
    </row>
    <row r="253" spans="12:13" ht="26.25">
      <c r="L253" s="280"/>
      <c r="M253" s="280"/>
    </row>
    <row r="254" spans="12:13" ht="26.25">
      <c r="L254" s="280"/>
      <c r="M254" s="280"/>
    </row>
    <row r="255" spans="12:13" ht="26.25">
      <c r="L255" s="280"/>
      <c r="M255" s="280"/>
    </row>
    <row r="256" spans="12:13" ht="26.25">
      <c r="L256" s="280"/>
      <c r="M256" s="280"/>
    </row>
    <row r="257" spans="12:13" ht="26.25">
      <c r="L257" s="280"/>
      <c r="M257" s="280"/>
    </row>
    <row r="258" spans="12:13" ht="26.25">
      <c r="L258" s="280"/>
      <c r="M258" s="280"/>
    </row>
    <row r="259" spans="12:13" ht="26.25">
      <c r="L259" s="280"/>
      <c r="M259" s="280"/>
    </row>
    <row r="260" spans="12:13" ht="26.25">
      <c r="L260" s="280"/>
      <c r="M260" s="280"/>
    </row>
    <row r="261" spans="12:13" ht="26.25">
      <c r="L261" s="280"/>
      <c r="M261" s="280"/>
    </row>
    <row r="262" spans="12:13" ht="26.25">
      <c r="L262" s="280"/>
      <c r="M262" s="280"/>
    </row>
    <row r="263" spans="12:13" ht="26.25">
      <c r="L263" s="280"/>
      <c r="M263" s="280"/>
    </row>
    <row r="264" spans="12:13" ht="26.25">
      <c r="L264" s="280"/>
      <c r="M264" s="280"/>
    </row>
  </sheetData>
  <sheetProtection/>
  <mergeCells count="315">
    <mergeCell ref="P175:P178"/>
    <mergeCell ref="A179:G179"/>
    <mergeCell ref="A180:A183"/>
    <mergeCell ref="B180:B183"/>
    <mergeCell ref="C180:C183"/>
    <mergeCell ref="E180:E183"/>
    <mergeCell ref="F180:F183"/>
    <mergeCell ref="G180:G183"/>
    <mergeCell ref="P180:P183"/>
    <mergeCell ref="A175:A178"/>
    <mergeCell ref="B175:B178"/>
    <mergeCell ref="C175:C178"/>
    <mergeCell ref="E175:E178"/>
    <mergeCell ref="F175:F178"/>
    <mergeCell ref="G175:G178"/>
    <mergeCell ref="A172:A174"/>
    <mergeCell ref="B172:B174"/>
    <mergeCell ref="C172:C174"/>
    <mergeCell ref="E172:E174"/>
    <mergeCell ref="F172:F174"/>
    <mergeCell ref="G172:G174"/>
    <mergeCell ref="A169:A171"/>
    <mergeCell ref="B169:B171"/>
    <mergeCell ref="C169:C171"/>
    <mergeCell ref="E169:E171"/>
    <mergeCell ref="F169:F171"/>
    <mergeCell ref="G169:G171"/>
    <mergeCell ref="G156:G159"/>
    <mergeCell ref="A160:G160"/>
    <mergeCell ref="A161:A163"/>
    <mergeCell ref="B161:B163"/>
    <mergeCell ref="A164:G164"/>
    <mergeCell ref="A165:A168"/>
    <mergeCell ref="B165:B168"/>
    <mergeCell ref="C165:C168"/>
    <mergeCell ref="E165:E168"/>
    <mergeCell ref="F165:F168"/>
    <mergeCell ref="H152:H154"/>
    <mergeCell ref="I152:O152"/>
    <mergeCell ref="P152:P154"/>
    <mergeCell ref="I153:I154"/>
    <mergeCell ref="J153:J154"/>
    <mergeCell ref="K153:O153"/>
    <mergeCell ref="A152:A154"/>
    <mergeCell ref="B152:B154"/>
    <mergeCell ref="C152:C154"/>
    <mergeCell ref="D152:D154"/>
    <mergeCell ref="E152:F153"/>
    <mergeCell ref="G152:G154"/>
    <mergeCell ref="A149:A151"/>
    <mergeCell ref="B149:B151"/>
    <mergeCell ref="C149:C151"/>
    <mergeCell ref="E149:E151"/>
    <mergeCell ref="F149:F151"/>
    <mergeCell ref="G149:G151"/>
    <mergeCell ref="A145:A148"/>
    <mergeCell ref="B145:B148"/>
    <mergeCell ref="C145:C148"/>
    <mergeCell ref="E145:E148"/>
    <mergeCell ref="F145:F148"/>
    <mergeCell ref="G145:G148"/>
    <mergeCell ref="F135:F137"/>
    <mergeCell ref="G135:G137"/>
    <mergeCell ref="A138:G138"/>
    <mergeCell ref="A139:A143"/>
    <mergeCell ref="B139:B143"/>
    <mergeCell ref="C139:C143"/>
    <mergeCell ref="E139:E143"/>
    <mergeCell ref="F139:F143"/>
    <mergeCell ref="G139:G143"/>
    <mergeCell ref="A132:A134"/>
    <mergeCell ref="B132:B134"/>
    <mergeCell ref="C132:C134"/>
    <mergeCell ref="E132:E134"/>
    <mergeCell ref="F132:F134"/>
    <mergeCell ref="G132:G134"/>
    <mergeCell ref="A129:A131"/>
    <mergeCell ref="B129:B131"/>
    <mergeCell ref="C129:C131"/>
    <mergeCell ref="E129:E131"/>
    <mergeCell ref="F129:F131"/>
    <mergeCell ref="G129:G131"/>
    <mergeCell ref="A126:A128"/>
    <mergeCell ref="B126:B128"/>
    <mergeCell ref="C126:C128"/>
    <mergeCell ref="E126:E128"/>
    <mergeCell ref="F126:F128"/>
    <mergeCell ref="G126:G128"/>
    <mergeCell ref="E120:E122"/>
    <mergeCell ref="F120:F122"/>
    <mergeCell ref="G120:G122"/>
    <mergeCell ref="A123:A125"/>
    <mergeCell ref="B123:B125"/>
    <mergeCell ref="C123:C125"/>
    <mergeCell ref="E123:E125"/>
    <mergeCell ref="F123:F125"/>
    <mergeCell ref="G123:G125"/>
    <mergeCell ref="B120:B122"/>
    <mergeCell ref="F114:F116"/>
    <mergeCell ref="G114:G116"/>
    <mergeCell ref="A117:A119"/>
    <mergeCell ref="B117:B119"/>
    <mergeCell ref="C117:C119"/>
    <mergeCell ref="E117:E119"/>
    <mergeCell ref="F117:F119"/>
    <mergeCell ref="G117:G119"/>
    <mergeCell ref="C108:C110"/>
    <mergeCell ref="E108:E110"/>
    <mergeCell ref="A114:A116"/>
    <mergeCell ref="B114:B116"/>
    <mergeCell ref="C114:C116"/>
    <mergeCell ref="E114:E116"/>
    <mergeCell ref="A111:A113"/>
    <mergeCell ref="B111:B113"/>
    <mergeCell ref="C111:C113"/>
    <mergeCell ref="E111:E113"/>
    <mergeCell ref="F111:F113"/>
    <mergeCell ref="G111:G113"/>
    <mergeCell ref="G100:G103"/>
    <mergeCell ref="A104:G104"/>
    <mergeCell ref="A105:A107"/>
    <mergeCell ref="B105:B107"/>
    <mergeCell ref="C105:C107"/>
    <mergeCell ref="E105:E107"/>
    <mergeCell ref="F105:F107"/>
    <mergeCell ref="G105:G107"/>
    <mergeCell ref="P95:P97"/>
    <mergeCell ref="I96:I97"/>
    <mergeCell ref="J96:J97"/>
    <mergeCell ref="K96:O96"/>
    <mergeCell ref="A99:G99"/>
    <mergeCell ref="A100:A103"/>
    <mergeCell ref="B100:B103"/>
    <mergeCell ref="C100:C103"/>
    <mergeCell ref="E100:E103"/>
    <mergeCell ref="F100:F103"/>
    <mergeCell ref="F88:F90"/>
    <mergeCell ref="G88:G90"/>
    <mergeCell ref="D95:D97"/>
    <mergeCell ref="E95:F96"/>
    <mergeCell ref="H95:H97"/>
    <mergeCell ref="I95:O95"/>
    <mergeCell ref="B88:B90"/>
    <mergeCell ref="C88:C90"/>
    <mergeCell ref="E88:E90"/>
    <mergeCell ref="B84:B87"/>
    <mergeCell ref="A88:A90"/>
    <mergeCell ref="A77:A80"/>
    <mergeCell ref="B77:B80"/>
    <mergeCell ref="C77:C80"/>
    <mergeCell ref="E77:E80"/>
    <mergeCell ref="F77:F80"/>
    <mergeCell ref="G77:G80"/>
    <mergeCell ref="A73:A76"/>
    <mergeCell ref="B73:B76"/>
    <mergeCell ref="C73:C76"/>
    <mergeCell ref="E73:E76"/>
    <mergeCell ref="F73:F76"/>
    <mergeCell ref="G73:G76"/>
    <mergeCell ref="A69:A72"/>
    <mergeCell ref="B69:B72"/>
    <mergeCell ref="C69:C72"/>
    <mergeCell ref="E69:E72"/>
    <mergeCell ref="F69:F72"/>
    <mergeCell ref="G69:G72"/>
    <mergeCell ref="A65:A68"/>
    <mergeCell ref="B65:B68"/>
    <mergeCell ref="C65:C68"/>
    <mergeCell ref="E65:E68"/>
    <mergeCell ref="F65:F68"/>
    <mergeCell ref="G65:G68"/>
    <mergeCell ref="B61:B64"/>
    <mergeCell ref="C61:C64"/>
    <mergeCell ref="E61:E64"/>
    <mergeCell ref="F61:F64"/>
    <mergeCell ref="G61:G64"/>
    <mergeCell ref="P61:P64"/>
    <mergeCell ref="A55:G55"/>
    <mergeCell ref="A56:A59"/>
    <mergeCell ref="B56:B59"/>
    <mergeCell ref="C56:C59"/>
    <mergeCell ref="E56:E59"/>
    <mergeCell ref="F56:F59"/>
    <mergeCell ref="G56:G59"/>
    <mergeCell ref="I47:I48"/>
    <mergeCell ref="J47:J48"/>
    <mergeCell ref="K47:O47"/>
    <mergeCell ref="A50:G50"/>
    <mergeCell ref="A51:A54"/>
    <mergeCell ref="B51:B54"/>
    <mergeCell ref="C51:C54"/>
    <mergeCell ref="E51:E54"/>
    <mergeCell ref="F51:F54"/>
    <mergeCell ref="G51:G54"/>
    <mergeCell ref="A46:A48"/>
    <mergeCell ref="B46:B48"/>
    <mergeCell ref="C46:C48"/>
    <mergeCell ref="D46:D48"/>
    <mergeCell ref="E46:F47"/>
    <mergeCell ref="G46:G48"/>
    <mergeCell ref="A42:A45"/>
    <mergeCell ref="B42:B45"/>
    <mergeCell ref="C42:C45"/>
    <mergeCell ref="E42:E45"/>
    <mergeCell ref="F42:F45"/>
    <mergeCell ref="G42:G45"/>
    <mergeCell ref="A38:G38"/>
    <mergeCell ref="A39:A41"/>
    <mergeCell ref="B39:B41"/>
    <mergeCell ref="C39:C41"/>
    <mergeCell ref="E39:E41"/>
    <mergeCell ref="F39:F41"/>
    <mergeCell ref="G39:G41"/>
    <mergeCell ref="A34:A37"/>
    <mergeCell ref="B34:B37"/>
    <mergeCell ref="C34:C37"/>
    <mergeCell ref="E34:E37"/>
    <mergeCell ref="F34:F37"/>
    <mergeCell ref="G34:G37"/>
    <mergeCell ref="E25:E28"/>
    <mergeCell ref="F25:F28"/>
    <mergeCell ref="G25:G28"/>
    <mergeCell ref="A29:G29"/>
    <mergeCell ref="A30:A33"/>
    <mergeCell ref="B30:B33"/>
    <mergeCell ref="C30:C33"/>
    <mergeCell ref="E30:E33"/>
    <mergeCell ref="F30:F33"/>
    <mergeCell ref="G30:G33"/>
    <mergeCell ref="G17:G20"/>
    <mergeCell ref="A21:A24"/>
    <mergeCell ref="B21:B24"/>
    <mergeCell ref="C21:C24"/>
    <mergeCell ref="E21:E24"/>
    <mergeCell ref="F21:F24"/>
    <mergeCell ref="G21:G24"/>
    <mergeCell ref="E156:E159"/>
    <mergeCell ref="F156:F159"/>
    <mergeCell ref="A17:A20"/>
    <mergeCell ref="B17:B20"/>
    <mergeCell ref="C17:C20"/>
    <mergeCell ref="E17:E20"/>
    <mergeCell ref="F17:F20"/>
    <mergeCell ref="A25:A28"/>
    <mergeCell ref="B25:B28"/>
    <mergeCell ref="C25:C28"/>
    <mergeCell ref="A188:O188"/>
    <mergeCell ref="A81:A83"/>
    <mergeCell ref="B81:B83"/>
    <mergeCell ref="C81:C83"/>
    <mergeCell ref="G165:G168"/>
    <mergeCell ref="B156:B159"/>
    <mergeCell ref="C156:C159"/>
    <mergeCell ref="F91:F94"/>
    <mergeCell ref="F84:F87"/>
    <mergeCell ref="A156:A159"/>
    <mergeCell ref="A144:G144"/>
    <mergeCell ref="A135:A137"/>
    <mergeCell ref="B135:B137"/>
    <mergeCell ref="C135:C137"/>
    <mergeCell ref="E135:E137"/>
    <mergeCell ref="A108:A110"/>
    <mergeCell ref="B108:B110"/>
    <mergeCell ref="A120:A122"/>
    <mergeCell ref="F108:F110"/>
    <mergeCell ref="G108:G110"/>
    <mergeCell ref="P42:P45"/>
    <mergeCell ref="H46:H48"/>
    <mergeCell ref="I46:O46"/>
    <mergeCell ref="P46:P48"/>
    <mergeCell ref="A95:A97"/>
    <mergeCell ref="B95:B97"/>
    <mergeCell ref="C95:C97"/>
    <mergeCell ref="G84:G87"/>
    <mergeCell ref="A84:A87"/>
    <mergeCell ref="C84:C87"/>
    <mergeCell ref="A13:A16"/>
    <mergeCell ref="B13:B16"/>
    <mergeCell ref="C13:C16"/>
    <mergeCell ref="E13:E16"/>
    <mergeCell ref="F13:F16"/>
    <mergeCell ref="A91:A94"/>
    <mergeCell ref="B91:B94"/>
    <mergeCell ref="A60:G60"/>
    <mergeCell ref="A61:A64"/>
    <mergeCell ref="E84:E87"/>
    <mergeCell ref="P4:P6"/>
    <mergeCell ref="E9:E11"/>
    <mergeCell ref="J5:J6"/>
    <mergeCell ref="H4:H6"/>
    <mergeCell ref="I4:O4"/>
    <mergeCell ref="C120:C122"/>
    <mergeCell ref="G91:G94"/>
    <mergeCell ref="G95:G97"/>
    <mergeCell ref="C91:C94"/>
    <mergeCell ref="E91:E94"/>
    <mergeCell ref="I5:I6"/>
    <mergeCell ref="G9:G11"/>
    <mergeCell ref="A12:G12"/>
    <mergeCell ref="A9:A11"/>
    <mergeCell ref="B9:B11"/>
    <mergeCell ref="C9:C11"/>
    <mergeCell ref="A8:G8"/>
    <mergeCell ref="D4:D6"/>
    <mergeCell ref="E4:F5"/>
    <mergeCell ref="G4:G6"/>
    <mergeCell ref="G13:G16"/>
    <mergeCell ref="O1:P1"/>
    <mergeCell ref="A3:P3"/>
    <mergeCell ref="F9:F11"/>
    <mergeCell ref="A2:P2"/>
    <mergeCell ref="A4:A6"/>
    <mergeCell ref="B4:B6"/>
    <mergeCell ref="C4:C6"/>
    <mergeCell ref="K5:O5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48" r:id="rId1"/>
  <rowBreaks count="3" manualBreakCount="3">
    <brk id="45" max="15" man="1"/>
    <brk id="94" max="15" man="1"/>
    <brk id="1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27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7.57421875" style="12" customWidth="1"/>
    <col min="2" max="3" width="8.8515625" style="12" customWidth="1"/>
    <col min="4" max="4" width="50.00390625" style="12" customWidth="1"/>
    <col min="5" max="5" width="15.57421875" style="12" customWidth="1"/>
    <col min="6" max="6" width="13.140625" style="287" bestFit="1" customWidth="1"/>
    <col min="7" max="9" width="13.140625" style="287" customWidth="1"/>
    <col min="10" max="10" width="12.28125" style="12" bestFit="1" customWidth="1"/>
    <col min="11" max="16384" width="9.140625" style="12" customWidth="1"/>
  </cols>
  <sheetData>
    <row r="1" spans="1:10" ht="52.5" customHeight="1">
      <c r="A1" s="286"/>
      <c r="B1" s="286"/>
      <c r="C1" s="286"/>
      <c r="D1" s="286" t="s">
        <v>153</v>
      </c>
      <c r="E1" s="286"/>
      <c r="G1" s="288"/>
      <c r="I1" s="769" t="s">
        <v>356</v>
      </c>
      <c r="J1" s="769"/>
    </row>
    <row r="2" spans="1:10" ht="12" customHeight="1">
      <c r="A2" s="22"/>
      <c r="B2" s="22"/>
      <c r="C2" s="22"/>
      <c r="D2" s="22"/>
      <c r="E2" s="22"/>
      <c r="F2" s="289"/>
      <c r="G2" s="289"/>
      <c r="H2" s="289"/>
      <c r="I2" s="289"/>
      <c r="J2" s="22"/>
    </row>
    <row r="3" spans="1:10" ht="12" customHeight="1">
      <c r="A3" s="22"/>
      <c r="B3" s="22"/>
      <c r="C3" s="22"/>
      <c r="D3" s="22"/>
      <c r="E3" s="22"/>
      <c r="F3" s="289"/>
      <c r="G3" s="289"/>
      <c r="H3" s="289"/>
      <c r="I3" s="289"/>
      <c r="J3" s="22"/>
    </row>
    <row r="4" spans="1:10" ht="31.5" customHeight="1">
      <c r="A4" s="770" t="s">
        <v>181</v>
      </c>
      <c r="B4" s="770"/>
      <c r="C4" s="770"/>
      <c r="D4" s="770"/>
      <c r="E4" s="770"/>
      <c r="F4" s="770"/>
      <c r="G4" s="770"/>
      <c r="H4" s="770"/>
      <c r="I4" s="770"/>
      <c r="J4" s="770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771" t="s">
        <v>0</v>
      </c>
      <c r="B6" s="774" t="s">
        <v>1</v>
      </c>
      <c r="C6" s="774" t="s">
        <v>155</v>
      </c>
      <c r="D6" s="777" t="s">
        <v>2</v>
      </c>
      <c r="E6" s="780" t="s">
        <v>3</v>
      </c>
      <c r="F6" s="781"/>
      <c r="G6" s="782"/>
      <c r="H6" s="783" t="s">
        <v>4</v>
      </c>
      <c r="I6" s="784"/>
      <c r="J6" s="785"/>
    </row>
    <row r="7" spans="1:10" ht="12.75">
      <c r="A7" s="772"/>
      <c r="B7" s="775"/>
      <c r="C7" s="775"/>
      <c r="D7" s="778"/>
      <c r="E7" s="786" t="s">
        <v>18</v>
      </c>
      <c r="F7" s="787" t="s">
        <v>156</v>
      </c>
      <c r="G7" s="788"/>
      <c r="H7" s="789" t="s">
        <v>18</v>
      </c>
      <c r="I7" s="791" t="s">
        <v>156</v>
      </c>
      <c r="J7" s="792"/>
    </row>
    <row r="8" spans="1:10" ht="33.75" customHeight="1">
      <c r="A8" s="773"/>
      <c r="B8" s="776"/>
      <c r="C8" s="776"/>
      <c r="D8" s="779"/>
      <c r="E8" s="773"/>
      <c r="F8" s="290" t="s">
        <v>157</v>
      </c>
      <c r="G8" s="291" t="s">
        <v>158</v>
      </c>
      <c r="H8" s="790"/>
      <c r="I8" s="292" t="s">
        <v>157</v>
      </c>
      <c r="J8" s="293" t="s">
        <v>158</v>
      </c>
    </row>
    <row r="9" spans="1:10" s="302" customFormat="1" ht="12" thickBot="1">
      <c r="A9" s="294">
        <v>1</v>
      </c>
      <c r="B9" s="295">
        <v>2</v>
      </c>
      <c r="C9" s="295">
        <v>3</v>
      </c>
      <c r="D9" s="296">
        <v>4</v>
      </c>
      <c r="E9" s="297">
        <v>5</v>
      </c>
      <c r="F9" s="298">
        <v>6</v>
      </c>
      <c r="G9" s="299">
        <v>7</v>
      </c>
      <c r="H9" s="300">
        <v>8</v>
      </c>
      <c r="I9" s="298">
        <v>9</v>
      </c>
      <c r="J9" s="301">
        <v>10</v>
      </c>
    </row>
    <row r="10" spans="1:10" s="310" customFormat="1" ht="30" customHeight="1">
      <c r="A10" s="357">
        <v>600</v>
      </c>
      <c r="B10" s="358"/>
      <c r="C10" s="359"/>
      <c r="D10" s="360" t="s">
        <v>170</v>
      </c>
      <c r="E10" s="361">
        <f aca="true" t="shared" si="0" ref="E10:J10">SUM(E11+E13)</f>
        <v>1103241</v>
      </c>
      <c r="F10" s="347">
        <f t="shared" si="0"/>
        <v>0</v>
      </c>
      <c r="G10" s="362">
        <f t="shared" si="0"/>
        <v>1103241</v>
      </c>
      <c r="H10" s="361">
        <f t="shared" si="0"/>
        <v>63852</v>
      </c>
      <c r="I10" s="347">
        <f t="shared" si="0"/>
        <v>0</v>
      </c>
      <c r="J10" s="363">
        <f t="shared" si="0"/>
        <v>63852</v>
      </c>
    </row>
    <row r="11" spans="1:10" s="310" customFormat="1" ht="30" customHeight="1">
      <c r="A11" s="311"/>
      <c r="B11" s="312">
        <v>60013</v>
      </c>
      <c r="C11" s="313"/>
      <c r="D11" s="314" t="s">
        <v>194</v>
      </c>
      <c r="E11" s="315">
        <f aca="true" t="shared" si="1" ref="E11:J11">SUM(E12:E12)</f>
        <v>600000</v>
      </c>
      <c r="F11" s="316">
        <f t="shared" si="1"/>
        <v>0</v>
      </c>
      <c r="G11" s="348">
        <f t="shared" si="1"/>
        <v>600000</v>
      </c>
      <c r="H11" s="315">
        <f t="shared" si="1"/>
        <v>0</v>
      </c>
      <c r="I11" s="316">
        <f t="shared" si="1"/>
        <v>0</v>
      </c>
      <c r="J11" s="318">
        <f t="shared" si="1"/>
        <v>0</v>
      </c>
    </row>
    <row r="12" spans="1:10" s="310" customFormat="1" ht="31.5" customHeight="1">
      <c r="A12" s="311"/>
      <c r="B12" s="334"/>
      <c r="C12" s="313" t="s">
        <v>236</v>
      </c>
      <c r="D12" s="314" t="s">
        <v>237</v>
      </c>
      <c r="E12" s="320">
        <f>SUM(F12:G12)</f>
        <v>600000</v>
      </c>
      <c r="F12" s="321">
        <v>0</v>
      </c>
      <c r="G12" s="322">
        <v>600000</v>
      </c>
      <c r="H12" s="315">
        <f>SUM(I12:J12)</f>
        <v>0</v>
      </c>
      <c r="I12" s="316">
        <v>0</v>
      </c>
      <c r="J12" s="323">
        <v>0</v>
      </c>
    </row>
    <row r="13" spans="1:10" s="310" customFormat="1" ht="30" customHeight="1">
      <c r="A13" s="311"/>
      <c r="B13" s="312">
        <v>60014</v>
      </c>
      <c r="C13" s="313"/>
      <c r="D13" s="314" t="s">
        <v>182</v>
      </c>
      <c r="E13" s="315">
        <f aca="true" t="shared" si="2" ref="E13:J13">SUM(E14:E15)</f>
        <v>503241</v>
      </c>
      <c r="F13" s="316">
        <f t="shared" si="2"/>
        <v>0</v>
      </c>
      <c r="G13" s="348">
        <f t="shared" si="2"/>
        <v>503241</v>
      </c>
      <c r="H13" s="315">
        <f t="shared" si="2"/>
        <v>63852</v>
      </c>
      <c r="I13" s="316">
        <f t="shared" si="2"/>
        <v>0</v>
      </c>
      <c r="J13" s="335">
        <f t="shared" si="2"/>
        <v>63852</v>
      </c>
    </row>
    <row r="14" spans="1:10" s="310" customFormat="1" ht="44.25" customHeight="1">
      <c r="A14" s="311"/>
      <c r="B14" s="319"/>
      <c r="C14" s="313" t="s">
        <v>302</v>
      </c>
      <c r="D14" s="314" t="s">
        <v>303</v>
      </c>
      <c r="E14" s="320">
        <f>SUM(F14:G14)</f>
        <v>503241</v>
      </c>
      <c r="F14" s="321">
        <v>0</v>
      </c>
      <c r="G14" s="322">
        <v>503241</v>
      </c>
      <c r="H14" s="315">
        <f>SUM(I14:J14)</f>
        <v>0</v>
      </c>
      <c r="I14" s="316">
        <v>0</v>
      </c>
      <c r="J14" s="323">
        <v>0</v>
      </c>
    </row>
    <row r="15" spans="1:10" s="310" customFormat="1" ht="51.75" thickBot="1">
      <c r="A15" s="333"/>
      <c r="B15" s="304"/>
      <c r="C15" s="313" t="s">
        <v>255</v>
      </c>
      <c r="D15" s="314" t="s">
        <v>256</v>
      </c>
      <c r="E15" s="320">
        <f>SUM(F15:G15)</f>
        <v>0</v>
      </c>
      <c r="F15" s="316">
        <v>0</v>
      </c>
      <c r="G15" s="355">
        <v>0</v>
      </c>
      <c r="H15" s="356">
        <f>SUM(I15:J15)</f>
        <v>63852</v>
      </c>
      <c r="I15" s="316">
        <v>0</v>
      </c>
      <c r="J15" s="318">
        <v>63852</v>
      </c>
    </row>
    <row r="16" spans="1:10" s="23" customFormat="1" ht="31.5" customHeight="1" thickBot="1">
      <c r="A16" s="793" t="s">
        <v>5</v>
      </c>
      <c r="B16" s="794"/>
      <c r="C16" s="794"/>
      <c r="D16" s="794"/>
      <c r="E16" s="324">
        <f aca="true" t="shared" si="3" ref="E16:J16">SUM(E10)</f>
        <v>1103241</v>
      </c>
      <c r="F16" s="325">
        <f t="shared" si="3"/>
        <v>0</v>
      </c>
      <c r="G16" s="326">
        <f t="shared" si="3"/>
        <v>1103241</v>
      </c>
      <c r="H16" s="324">
        <f t="shared" si="3"/>
        <v>63852</v>
      </c>
      <c r="I16" s="325">
        <f t="shared" si="3"/>
        <v>0</v>
      </c>
      <c r="J16" s="327">
        <f t="shared" si="3"/>
        <v>63852</v>
      </c>
    </row>
    <row r="17" spans="1:10" ht="12.75">
      <c r="A17" s="310"/>
      <c r="B17" s="310"/>
      <c r="C17" s="310"/>
      <c r="D17" s="310"/>
      <c r="E17" s="310"/>
      <c r="F17" s="328"/>
      <c r="G17" s="328"/>
      <c r="H17" s="328"/>
      <c r="I17" s="328"/>
      <c r="J17" s="310"/>
    </row>
    <row r="19" ht="12.75">
      <c r="E19" s="30"/>
    </row>
    <row r="20" spans="5:10" ht="12.75">
      <c r="E20" s="19"/>
      <c r="J20" s="19"/>
    </row>
    <row r="22" spans="4:10" ht="12.75">
      <c r="D22" s="329"/>
      <c r="E22" s="330"/>
      <c r="J22" s="19"/>
    </row>
    <row r="23" spans="4:5" ht="12.75">
      <c r="D23" s="331"/>
      <c r="E23" s="331"/>
    </row>
    <row r="24" spans="4:5" ht="12.75">
      <c r="D24" s="331"/>
      <c r="E24" s="331"/>
    </row>
    <row r="25" spans="4:5" ht="12.75">
      <c r="D25" s="331"/>
      <c r="E25" s="331"/>
    </row>
    <row r="26" spans="4:5" ht="12.75">
      <c r="D26" s="329"/>
      <c r="E26" s="332"/>
    </row>
    <row r="27" spans="1:10" s="287" customFormat="1" ht="12.75">
      <c r="A27" s="12"/>
      <c r="B27" s="12"/>
      <c r="C27" s="12"/>
      <c r="D27" s="331"/>
      <c r="E27" s="331"/>
      <c r="J27" s="12"/>
    </row>
  </sheetData>
  <sheetProtection/>
  <mergeCells count="13">
    <mergeCell ref="H7:H8"/>
    <mergeCell ref="I7:J7"/>
    <mergeCell ref="A16:D16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64"/>
  <sheetViews>
    <sheetView showGridLines="0" view="pageBreakPreview" zoomScaleSheetLayoutView="100" zoomScalePageLayoutView="0" workbookViewId="0" topLeftCell="C1">
      <selection activeCell="I2" sqref="I2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4" width="15.00390625" style="12" bestFit="1" customWidth="1"/>
    <col min="5" max="5" width="10.7109375" style="12" bestFit="1" customWidth="1"/>
    <col min="6" max="6" width="16.7109375" style="12" bestFit="1" customWidth="1"/>
    <col min="7" max="7" width="11.421875" style="12" customWidth="1"/>
    <col min="8" max="8" width="13.00390625" style="12" customWidth="1"/>
    <col min="9" max="9" width="12.28125" style="12" customWidth="1"/>
    <col min="10" max="10" width="12.57421875" style="22" customWidth="1"/>
    <col min="11" max="11" width="17.140625" style="12" customWidth="1"/>
    <col min="12" max="12" width="11.00390625" style="12" bestFit="1" customWidth="1"/>
    <col min="13" max="13" width="15.140625" style="12" customWidth="1"/>
    <col min="14" max="16384" width="9.140625" style="12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73"/>
      <c r="L1" s="806" t="s">
        <v>357</v>
      </c>
      <c r="M1" s="806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26.25" customHeight="1">
      <c r="A3" s="770" t="s">
        <v>70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807" t="s">
        <v>0</v>
      </c>
      <c r="B5" s="810" t="s">
        <v>1</v>
      </c>
      <c r="C5" s="810" t="s">
        <v>2</v>
      </c>
      <c r="D5" s="813" t="s">
        <v>3</v>
      </c>
      <c r="E5" s="814"/>
      <c r="F5" s="814"/>
      <c r="G5" s="814"/>
      <c r="H5" s="815"/>
      <c r="I5" s="816" t="s">
        <v>4</v>
      </c>
      <c r="J5" s="817"/>
      <c r="K5" s="817"/>
      <c r="L5" s="817"/>
      <c r="M5" s="818"/>
    </row>
    <row r="6" spans="1:13" s="1" customFormat="1" ht="12.75">
      <c r="A6" s="808"/>
      <c r="B6" s="811"/>
      <c r="C6" s="811"/>
      <c r="D6" s="805" t="s">
        <v>18</v>
      </c>
      <c r="E6" s="798" t="s">
        <v>71</v>
      </c>
      <c r="F6" s="799"/>
      <c r="G6" s="799"/>
      <c r="H6" s="800"/>
      <c r="I6" s="805" t="s">
        <v>18</v>
      </c>
      <c r="J6" s="798" t="s">
        <v>71</v>
      </c>
      <c r="K6" s="799"/>
      <c r="L6" s="799"/>
      <c r="M6" s="800"/>
    </row>
    <row r="7" spans="1:13" s="1" customFormat="1" ht="59.25" customHeight="1">
      <c r="A7" s="809"/>
      <c r="B7" s="812"/>
      <c r="C7" s="812"/>
      <c r="D7" s="805"/>
      <c r="E7" s="174" t="s">
        <v>72</v>
      </c>
      <c r="F7" s="174" t="s">
        <v>73</v>
      </c>
      <c r="G7" s="174" t="s">
        <v>74</v>
      </c>
      <c r="H7" s="342" t="s">
        <v>75</v>
      </c>
      <c r="I7" s="805"/>
      <c r="J7" s="175" t="s">
        <v>72</v>
      </c>
      <c r="K7" s="175" t="s">
        <v>73</v>
      </c>
      <c r="L7" s="175" t="s">
        <v>74</v>
      </c>
      <c r="M7" s="163" t="s">
        <v>75</v>
      </c>
    </row>
    <row r="8" spans="1:13" s="3" customFormat="1" ht="12" thickBot="1">
      <c r="A8" s="8">
        <v>1</v>
      </c>
      <c r="B8" s="9">
        <v>2</v>
      </c>
      <c r="C8" s="176">
        <v>3</v>
      </c>
      <c r="D8" s="177">
        <v>4</v>
      </c>
      <c r="E8" s="178">
        <v>5</v>
      </c>
      <c r="F8" s="178">
        <v>6</v>
      </c>
      <c r="G8" s="178">
        <v>7</v>
      </c>
      <c r="H8" s="179">
        <v>8</v>
      </c>
      <c r="I8" s="177">
        <v>9</v>
      </c>
      <c r="J8" s="178">
        <v>10</v>
      </c>
      <c r="K8" s="178">
        <v>11</v>
      </c>
      <c r="L8" s="178">
        <v>12</v>
      </c>
      <c r="M8" s="179">
        <v>13</v>
      </c>
    </row>
    <row r="9" spans="1:13" s="1" customFormat="1" ht="12.75">
      <c r="A9" s="367"/>
      <c r="B9" s="368"/>
      <c r="C9" s="369"/>
      <c r="D9" s="370"/>
      <c r="E9" s="371"/>
      <c r="F9" s="371"/>
      <c r="G9" s="371"/>
      <c r="H9" s="372"/>
      <c r="I9" s="373"/>
      <c r="J9" s="374"/>
      <c r="K9" s="374"/>
      <c r="L9" s="374"/>
      <c r="M9" s="375"/>
    </row>
    <row r="10" spans="1:13" s="7" customFormat="1" ht="12.75">
      <c r="A10" s="180">
        <v>700</v>
      </c>
      <c r="B10" s="181"/>
      <c r="C10" s="376" t="s">
        <v>173</v>
      </c>
      <c r="D10" s="183">
        <f aca="true" t="shared" si="0" ref="D10:M10">SUM(D12:D14)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5">
        <f t="shared" si="0"/>
        <v>0</v>
      </c>
      <c r="I10" s="183">
        <f t="shared" si="0"/>
        <v>163000</v>
      </c>
      <c r="J10" s="184">
        <f t="shared" si="0"/>
        <v>0</v>
      </c>
      <c r="K10" s="184">
        <f t="shared" si="0"/>
        <v>0</v>
      </c>
      <c r="L10" s="184">
        <f t="shared" si="0"/>
        <v>0</v>
      </c>
      <c r="M10" s="185">
        <f t="shared" si="0"/>
        <v>0</v>
      </c>
    </row>
    <row r="11" spans="1:13" s="1" customFormat="1" ht="12.75">
      <c r="A11" s="186"/>
      <c r="B11" s="187"/>
      <c r="C11" s="188"/>
      <c r="D11" s="189"/>
      <c r="E11" s="190"/>
      <c r="F11" s="190"/>
      <c r="G11" s="190"/>
      <c r="H11" s="343"/>
      <c r="I11" s="191"/>
      <c r="J11" s="192"/>
      <c r="K11" s="192"/>
      <c r="L11" s="192"/>
      <c r="M11" s="193"/>
    </row>
    <row r="12" spans="1:13" s="1" customFormat="1" ht="12.75">
      <c r="A12" s="28"/>
      <c r="B12" s="15">
        <v>70005</v>
      </c>
      <c r="C12" s="194" t="s">
        <v>175</v>
      </c>
      <c r="D12" s="336">
        <v>0</v>
      </c>
      <c r="E12" s="337">
        <v>0</v>
      </c>
      <c r="F12" s="337">
        <v>0</v>
      </c>
      <c r="G12" s="337">
        <v>0</v>
      </c>
      <c r="H12" s="344">
        <v>0</v>
      </c>
      <c r="I12" s="338">
        <v>90000</v>
      </c>
      <c r="J12" s="339">
        <v>0</v>
      </c>
      <c r="K12" s="339">
        <v>0</v>
      </c>
      <c r="L12" s="339">
        <v>0</v>
      </c>
      <c r="M12" s="340">
        <v>0</v>
      </c>
    </row>
    <row r="13" spans="1:13" s="1" customFormat="1" ht="12.75">
      <c r="A13" s="186"/>
      <c r="B13" s="187"/>
      <c r="C13" s="188"/>
      <c r="D13" s="350"/>
      <c r="E13" s="190"/>
      <c r="F13" s="190"/>
      <c r="G13" s="190"/>
      <c r="H13" s="351"/>
      <c r="I13" s="191"/>
      <c r="J13" s="192"/>
      <c r="K13" s="192"/>
      <c r="L13" s="192"/>
      <c r="M13" s="353"/>
    </row>
    <row r="14" spans="1:13" s="1" customFormat="1" ht="12.75">
      <c r="A14" s="744"/>
      <c r="B14" s="15">
        <v>70095</v>
      </c>
      <c r="C14" s="194" t="s">
        <v>159</v>
      </c>
      <c r="D14" s="745">
        <v>0</v>
      </c>
      <c r="E14" s="337">
        <v>0</v>
      </c>
      <c r="F14" s="337">
        <v>0</v>
      </c>
      <c r="G14" s="337">
        <v>0</v>
      </c>
      <c r="H14" s="746">
        <v>0</v>
      </c>
      <c r="I14" s="338">
        <v>73000</v>
      </c>
      <c r="J14" s="339">
        <v>0</v>
      </c>
      <c r="K14" s="339">
        <v>0</v>
      </c>
      <c r="L14" s="339">
        <v>0</v>
      </c>
      <c r="M14" s="747">
        <v>0</v>
      </c>
    </row>
    <row r="15" spans="1:13" s="1" customFormat="1" ht="12.75">
      <c r="A15" s="186"/>
      <c r="B15" s="187"/>
      <c r="C15" s="188"/>
      <c r="D15" s="350"/>
      <c r="E15" s="190"/>
      <c r="F15" s="190"/>
      <c r="G15" s="190"/>
      <c r="H15" s="351"/>
      <c r="I15" s="352"/>
      <c r="J15" s="192"/>
      <c r="K15" s="192"/>
      <c r="L15" s="192"/>
      <c r="M15" s="353"/>
    </row>
    <row r="16" spans="1:13" s="7" customFormat="1" ht="12.75">
      <c r="A16" s="180">
        <v>710</v>
      </c>
      <c r="B16" s="181"/>
      <c r="C16" s="182" t="s">
        <v>184</v>
      </c>
      <c r="D16" s="183">
        <f>SUM(D18:D20)</f>
        <v>272764</v>
      </c>
      <c r="E16" s="184">
        <f aca="true" t="shared" si="1" ref="E16:M16">SUM(E18:E20)</f>
        <v>0</v>
      </c>
      <c r="F16" s="184">
        <f t="shared" si="1"/>
        <v>7400</v>
      </c>
      <c r="G16" s="184">
        <f t="shared" si="1"/>
        <v>0</v>
      </c>
      <c r="H16" s="378">
        <f t="shared" si="1"/>
        <v>0</v>
      </c>
      <c r="I16" s="183">
        <f t="shared" si="1"/>
        <v>0</v>
      </c>
      <c r="J16" s="184">
        <f t="shared" si="1"/>
        <v>0</v>
      </c>
      <c r="K16" s="184">
        <f t="shared" si="1"/>
        <v>0</v>
      </c>
      <c r="L16" s="184">
        <f t="shared" si="1"/>
        <v>0</v>
      </c>
      <c r="M16" s="379">
        <f t="shared" si="1"/>
        <v>0</v>
      </c>
    </row>
    <row r="17" spans="1:13" s="1" customFormat="1" ht="12.75">
      <c r="A17" s="186"/>
      <c r="B17" s="187"/>
      <c r="C17" s="188"/>
      <c r="D17" s="189"/>
      <c r="E17" s="190"/>
      <c r="F17" s="190"/>
      <c r="G17" s="190"/>
      <c r="H17" s="343"/>
      <c r="I17" s="191"/>
      <c r="J17" s="192"/>
      <c r="K17" s="192"/>
      <c r="L17" s="192"/>
      <c r="M17" s="193"/>
    </row>
    <row r="18" spans="1:13" s="1" customFormat="1" ht="12.75">
      <c r="A18" s="186"/>
      <c r="B18" s="15">
        <v>71004</v>
      </c>
      <c r="C18" s="194" t="s">
        <v>257</v>
      </c>
      <c r="D18" s="336">
        <v>147400</v>
      </c>
      <c r="E18" s="337">
        <v>0</v>
      </c>
      <c r="F18" s="337">
        <v>7400</v>
      </c>
      <c r="G18" s="337">
        <v>0</v>
      </c>
      <c r="H18" s="344">
        <v>0</v>
      </c>
      <c r="I18" s="338">
        <v>0</v>
      </c>
      <c r="J18" s="339">
        <v>0</v>
      </c>
      <c r="K18" s="339">
        <v>0</v>
      </c>
      <c r="L18" s="339">
        <v>0</v>
      </c>
      <c r="M18" s="340">
        <v>0</v>
      </c>
    </row>
    <row r="19" spans="1:13" s="1" customFormat="1" ht="12.75">
      <c r="A19" s="186"/>
      <c r="B19" s="187"/>
      <c r="C19" s="188"/>
      <c r="D19" s="189"/>
      <c r="E19" s="190"/>
      <c r="F19" s="190"/>
      <c r="G19" s="190"/>
      <c r="H19" s="343"/>
      <c r="I19" s="191"/>
      <c r="J19" s="192"/>
      <c r="K19" s="192"/>
      <c r="L19" s="192"/>
      <c r="M19" s="193"/>
    </row>
    <row r="20" spans="1:13" s="1" customFormat="1" ht="12.75">
      <c r="A20" s="27"/>
      <c r="B20" s="15">
        <v>71014</v>
      </c>
      <c r="C20" s="194" t="s">
        <v>185</v>
      </c>
      <c r="D20" s="336">
        <v>125364</v>
      </c>
      <c r="E20" s="337">
        <v>0</v>
      </c>
      <c r="F20" s="337">
        <v>0</v>
      </c>
      <c r="G20" s="337">
        <v>0</v>
      </c>
      <c r="H20" s="344">
        <v>0</v>
      </c>
      <c r="I20" s="338">
        <v>0</v>
      </c>
      <c r="J20" s="339">
        <v>0</v>
      </c>
      <c r="K20" s="339">
        <v>0</v>
      </c>
      <c r="L20" s="339">
        <v>0</v>
      </c>
      <c r="M20" s="340">
        <v>0</v>
      </c>
    </row>
    <row r="21" spans="1:13" s="1" customFormat="1" ht="12.75">
      <c r="A21" s="186"/>
      <c r="B21" s="187"/>
      <c r="C21" s="188"/>
      <c r="D21" s="350"/>
      <c r="E21" s="190"/>
      <c r="F21" s="190"/>
      <c r="G21" s="190"/>
      <c r="H21" s="351"/>
      <c r="I21" s="191"/>
      <c r="J21" s="192"/>
      <c r="K21" s="192"/>
      <c r="L21" s="192"/>
      <c r="M21" s="353"/>
    </row>
    <row r="22" spans="1:13" s="7" customFormat="1" ht="12.75">
      <c r="A22" s="180">
        <v>750</v>
      </c>
      <c r="B22" s="181"/>
      <c r="C22" s="376" t="s">
        <v>46</v>
      </c>
      <c r="D22" s="183">
        <f>SUM(D24)</f>
        <v>5000</v>
      </c>
      <c r="E22" s="184">
        <f aca="true" t="shared" si="2" ref="E22:M22">SUM(E24)</f>
        <v>0</v>
      </c>
      <c r="F22" s="184">
        <f t="shared" si="2"/>
        <v>4000</v>
      </c>
      <c r="G22" s="184">
        <f t="shared" si="2"/>
        <v>0</v>
      </c>
      <c r="H22" s="378">
        <f t="shared" si="2"/>
        <v>0</v>
      </c>
      <c r="I22" s="183">
        <f t="shared" si="2"/>
        <v>7711</v>
      </c>
      <c r="J22" s="184">
        <f t="shared" si="2"/>
        <v>0</v>
      </c>
      <c r="K22" s="184">
        <f t="shared" si="2"/>
        <v>4800</v>
      </c>
      <c r="L22" s="184">
        <f t="shared" si="2"/>
        <v>0</v>
      </c>
      <c r="M22" s="379">
        <f t="shared" si="2"/>
        <v>0</v>
      </c>
    </row>
    <row r="23" spans="1:13" s="1" customFormat="1" ht="12.75">
      <c r="A23" s="186"/>
      <c r="B23" s="187"/>
      <c r="C23" s="188"/>
      <c r="D23" s="189"/>
      <c r="E23" s="190"/>
      <c r="F23" s="190"/>
      <c r="G23" s="190"/>
      <c r="H23" s="343"/>
      <c r="I23" s="191"/>
      <c r="J23" s="192"/>
      <c r="K23" s="192"/>
      <c r="L23" s="192"/>
      <c r="M23" s="193"/>
    </row>
    <row r="24" spans="1:13" s="1" customFormat="1" ht="12.75">
      <c r="A24" s="27"/>
      <c r="B24" s="15">
        <v>75023</v>
      </c>
      <c r="C24" s="377" t="s">
        <v>248</v>
      </c>
      <c r="D24" s="336">
        <v>5000</v>
      </c>
      <c r="E24" s="337">
        <v>0</v>
      </c>
      <c r="F24" s="337">
        <v>4000</v>
      </c>
      <c r="G24" s="337">
        <v>0</v>
      </c>
      <c r="H24" s="344">
        <v>0</v>
      </c>
      <c r="I24" s="338">
        <v>7711</v>
      </c>
      <c r="J24" s="339">
        <v>0</v>
      </c>
      <c r="K24" s="339">
        <v>4800</v>
      </c>
      <c r="L24" s="339">
        <v>0</v>
      </c>
      <c r="M24" s="340">
        <v>0</v>
      </c>
    </row>
    <row r="25" spans="1:13" s="1" customFormat="1" ht="12.75">
      <c r="A25" s="186"/>
      <c r="B25" s="187"/>
      <c r="C25" s="546"/>
      <c r="D25" s="350"/>
      <c r="E25" s="190"/>
      <c r="F25" s="190"/>
      <c r="G25" s="190"/>
      <c r="H25" s="351"/>
      <c r="I25" s="191"/>
      <c r="J25" s="192"/>
      <c r="K25" s="192"/>
      <c r="L25" s="192"/>
      <c r="M25" s="353"/>
    </row>
    <row r="26" spans="1:13" s="555" customFormat="1" ht="12.75">
      <c r="A26" s="554">
        <v>757</v>
      </c>
      <c r="B26" s="556"/>
      <c r="C26" s="557" t="s">
        <v>258</v>
      </c>
      <c r="D26" s="183">
        <f aca="true" t="shared" si="3" ref="D26:M26">SUM(D28:D28)</f>
        <v>313875</v>
      </c>
      <c r="E26" s="184">
        <f t="shared" si="3"/>
        <v>0</v>
      </c>
      <c r="F26" s="184">
        <f t="shared" si="3"/>
        <v>0</v>
      </c>
      <c r="G26" s="184">
        <f t="shared" si="3"/>
        <v>313875</v>
      </c>
      <c r="H26" s="185">
        <f t="shared" si="3"/>
        <v>0</v>
      </c>
      <c r="I26" s="183">
        <f t="shared" si="3"/>
        <v>0</v>
      </c>
      <c r="J26" s="184">
        <f t="shared" si="3"/>
        <v>0</v>
      </c>
      <c r="K26" s="184">
        <f t="shared" si="3"/>
        <v>0</v>
      </c>
      <c r="L26" s="184">
        <f t="shared" si="3"/>
        <v>0</v>
      </c>
      <c r="M26" s="185">
        <f t="shared" si="3"/>
        <v>0</v>
      </c>
    </row>
    <row r="27" spans="1:13" s="1" customFormat="1" ht="12.75">
      <c r="A27" s="186"/>
      <c r="B27" s="187"/>
      <c r="C27" s="546"/>
      <c r="D27" s="350"/>
      <c r="E27" s="190"/>
      <c r="F27" s="190"/>
      <c r="G27" s="190"/>
      <c r="H27" s="351"/>
      <c r="I27" s="191"/>
      <c r="J27" s="192"/>
      <c r="K27" s="192"/>
      <c r="L27" s="192"/>
      <c r="M27" s="353"/>
    </row>
    <row r="28" spans="1:13" s="1" customFormat="1" ht="25.5">
      <c r="A28" s="744"/>
      <c r="B28" s="749">
        <v>75702</v>
      </c>
      <c r="C28" s="750" t="s">
        <v>259</v>
      </c>
      <c r="D28" s="745">
        <v>313875</v>
      </c>
      <c r="E28" s="337">
        <v>0</v>
      </c>
      <c r="F28" s="337">
        <v>0</v>
      </c>
      <c r="G28" s="337">
        <v>313875</v>
      </c>
      <c r="H28" s="746">
        <v>0</v>
      </c>
      <c r="I28" s="338">
        <v>0</v>
      </c>
      <c r="J28" s="339">
        <v>0</v>
      </c>
      <c r="K28" s="339">
        <v>0</v>
      </c>
      <c r="L28" s="339">
        <v>0</v>
      </c>
      <c r="M28" s="747">
        <v>0</v>
      </c>
    </row>
    <row r="29" spans="1:13" s="1" customFormat="1" ht="12.75">
      <c r="A29" s="186"/>
      <c r="B29" s="187"/>
      <c r="C29" s="546"/>
      <c r="D29" s="350"/>
      <c r="E29" s="190"/>
      <c r="F29" s="190"/>
      <c r="G29" s="190"/>
      <c r="H29" s="351"/>
      <c r="I29" s="191"/>
      <c r="J29" s="192"/>
      <c r="K29" s="192"/>
      <c r="L29" s="192"/>
      <c r="M29" s="353"/>
    </row>
    <row r="30" spans="1:13" s="555" customFormat="1" ht="12.75">
      <c r="A30" s="554">
        <v>758</v>
      </c>
      <c r="B30" s="556"/>
      <c r="C30" s="557" t="s">
        <v>348</v>
      </c>
      <c r="D30" s="183">
        <f aca="true" t="shared" si="4" ref="D30:M30">SUM(D32:D32)</f>
        <v>0</v>
      </c>
      <c r="E30" s="184">
        <f t="shared" si="4"/>
        <v>0</v>
      </c>
      <c r="F30" s="184">
        <f t="shared" si="4"/>
        <v>0</v>
      </c>
      <c r="G30" s="184">
        <f t="shared" si="4"/>
        <v>0</v>
      </c>
      <c r="H30" s="185">
        <f t="shared" si="4"/>
        <v>0</v>
      </c>
      <c r="I30" s="183">
        <f t="shared" si="4"/>
        <v>19684</v>
      </c>
      <c r="J30" s="184">
        <f t="shared" si="4"/>
        <v>0</v>
      </c>
      <c r="K30" s="184">
        <f t="shared" si="4"/>
        <v>0</v>
      </c>
      <c r="L30" s="184">
        <f t="shared" si="4"/>
        <v>0</v>
      </c>
      <c r="M30" s="185">
        <f t="shared" si="4"/>
        <v>0</v>
      </c>
    </row>
    <row r="31" spans="1:13" s="1" customFormat="1" ht="12.75">
      <c r="A31" s="186"/>
      <c r="B31" s="187"/>
      <c r="C31" s="546"/>
      <c r="D31" s="350"/>
      <c r="E31" s="190"/>
      <c r="F31" s="190"/>
      <c r="G31" s="190"/>
      <c r="H31" s="351"/>
      <c r="I31" s="191"/>
      <c r="J31" s="192"/>
      <c r="K31" s="192"/>
      <c r="L31" s="192"/>
      <c r="M31" s="353"/>
    </row>
    <row r="32" spans="1:13" s="1" customFormat="1" ht="12.75">
      <c r="A32" s="186"/>
      <c r="B32" s="380">
        <v>75818</v>
      </c>
      <c r="C32" s="558" t="s">
        <v>352</v>
      </c>
      <c r="D32" s="350">
        <v>0</v>
      </c>
      <c r="E32" s="190">
        <v>0</v>
      </c>
      <c r="F32" s="190">
        <v>0</v>
      </c>
      <c r="G32" s="190">
        <v>0</v>
      </c>
      <c r="H32" s="351">
        <v>0</v>
      </c>
      <c r="I32" s="191">
        <v>19684</v>
      </c>
      <c r="J32" s="192">
        <v>0</v>
      </c>
      <c r="K32" s="192">
        <v>0</v>
      </c>
      <c r="L32" s="192">
        <v>0</v>
      </c>
      <c r="M32" s="353">
        <v>0</v>
      </c>
    </row>
    <row r="33" spans="1:13" s="1" customFormat="1" ht="12.75">
      <c r="A33" s="367"/>
      <c r="B33" s="368"/>
      <c r="C33" s="369"/>
      <c r="D33" s="370"/>
      <c r="E33" s="371"/>
      <c r="F33" s="371"/>
      <c r="G33" s="371"/>
      <c r="H33" s="372"/>
      <c r="I33" s="373"/>
      <c r="J33" s="374"/>
      <c r="K33" s="374"/>
      <c r="L33" s="374"/>
      <c r="M33" s="375"/>
    </row>
    <row r="34" spans="1:13" s="7" customFormat="1" ht="12.75">
      <c r="A34" s="180">
        <v>801</v>
      </c>
      <c r="B34" s="181"/>
      <c r="C34" s="182" t="s">
        <v>160</v>
      </c>
      <c r="D34" s="183">
        <f aca="true" t="shared" si="5" ref="D34:M34">SUM(D36:D38)</f>
        <v>7000</v>
      </c>
      <c r="E34" s="184">
        <f t="shared" si="5"/>
        <v>7000</v>
      </c>
      <c r="F34" s="184">
        <f t="shared" si="5"/>
        <v>0</v>
      </c>
      <c r="G34" s="184">
        <f t="shared" si="5"/>
        <v>0</v>
      </c>
      <c r="H34" s="378">
        <f t="shared" si="5"/>
        <v>0</v>
      </c>
      <c r="I34" s="183">
        <f t="shared" si="5"/>
        <v>3000</v>
      </c>
      <c r="J34" s="184">
        <f t="shared" si="5"/>
        <v>3000</v>
      </c>
      <c r="K34" s="184">
        <f t="shared" si="5"/>
        <v>0</v>
      </c>
      <c r="L34" s="184">
        <f t="shared" si="5"/>
        <v>0</v>
      </c>
      <c r="M34" s="379">
        <f t="shared" si="5"/>
        <v>0</v>
      </c>
    </row>
    <row r="35" spans="1:13" s="1" customFormat="1" ht="12.75">
      <c r="A35" s="186"/>
      <c r="B35" s="187"/>
      <c r="C35" s="188"/>
      <c r="D35" s="189"/>
      <c r="E35" s="190"/>
      <c r="F35" s="190"/>
      <c r="G35" s="190"/>
      <c r="H35" s="343"/>
      <c r="I35" s="191"/>
      <c r="J35" s="192"/>
      <c r="K35" s="192"/>
      <c r="L35" s="192"/>
      <c r="M35" s="193"/>
    </row>
    <row r="36" spans="1:13" s="1" customFormat="1" ht="12.75">
      <c r="A36" s="28"/>
      <c r="B36" s="15">
        <v>80103</v>
      </c>
      <c r="C36" s="194" t="s">
        <v>176</v>
      </c>
      <c r="D36" s="336">
        <v>7000</v>
      </c>
      <c r="E36" s="337">
        <v>7000</v>
      </c>
      <c r="F36" s="337">
        <v>0</v>
      </c>
      <c r="G36" s="337">
        <v>0</v>
      </c>
      <c r="H36" s="344">
        <v>0</v>
      </c>
      <c r="I36" s="338">
        <v>0</v>
      </c>
      <c r="J36" s="339">
        <v>0</v>
      </c>
      <c r="K36" s="339">
        <v>0</v>
      </c>
      <c r="L36" s="339">
        <v>0</v>
      </c>
      <c r="M36" s="340">
        <v>0</v>
      </c>
    </row>
    <row r="37" spans="1:13" s="1" customFormat="1" ht="12.75">
      <c r="A37" s="186"/>
      <c r="B37" s="187"/>
      <c r="C37" s="188"/>
      <c r="D37" s="189"/>
      <c r="E37" s="190"/>
      <c r="F37" s="190"/>
      <c r="G37" s="190"/>
      <c r="H37" s="343"/>
      <c r="I37" s="191"/>
      <c r="J37" s="192"/>
      <c r="K37" s="192"/>
      <c r="L37" s="192"/>
      <c r="M37" s="193"/>
    </row>
    <row r="38" spans="1:13" s="1" customFormat="1" ht="12.75">
      <c r="A38" s="27"/>
      <c r="B38" s="15">
        <v>80104</v>
      </c>
      <c r="C38" s="194" t="s">
        <v>177</v>
      </c>
      <c r="D38" s="336">
        <v>0</v>
      </c>
      <c r="E38" s="337">
        <v>0</v>
      </c>
      <c r="F38" s="337">
        <v>0</v>
      </c>
      <c r="G38" s="337">
        <v>0</v>
      </c>
      <c r="H38" s="344">
        <v>0</v>
      </c>
      <c r="I38" s="338">
        <v>3000</v>
      </c>
      <c r="J38" s="339">
        <v>3000</v>
      </c>
      <c r="K38" s="339">
        <v>0</v>
      </c>
      <c r="L38" s="339">
        <v>0</v>
      </c>
      <c r="M38" s="340">
        <v>0</v>
      </c>
    </row>
    <row r="39" spans="1:13" s="1" customFormat="1" ht="12.75">
      <c r="A39" s="186"/>
      <c r="B39" s="187"/>
      <c r="C39" s="188"/>
      <c r="D39" s="350"/>
      <c r="E39" s="190"/>
      <c r="F39" s="190"/>
      <c r="G39" s="190"/>
      <c r="H39" s="351"/>
      <c r="I39" s="191"/>
      <c r="J39" s="192"/>
      <c r="K39" s="192"/>
      <c r="L39" s="192"/>
      <c r="M39" s="353"/>
    </row>
    <row r="40" spans="1:13" s="7" customFormat="1" ht="12.75">
      <c r="A40" s="180">
        <v>854</v>
      </c>
      <c r="B40" s="181"/>
      <c r="C40" s="182" t="s">
        <v>187</v>
      </c>
      <c r="D40" s="183">
        <f aca="true" t="shared" si="6" ref="D40:M40">SUM(D42:D42)</f>
        <v>20000</v>
      </c>
      <c r="E40" s="184">
        <f t="shared" si="6"/>
        <v>20000</v>
      </c>
      <c r="F40" s="184">
        <f t="shared" si="6"/>
        <v>0</v>
      </c>
      <c r="G40" s="184">
        <f t="shared" si="6"/>
        <v>0</v>
      </c>
      <c r="H40" s="185">
        <f t="shared" si="6"/>
        <v>0</v>
      </c>
      <c r="I40" s="183">
        <f t="shared" si="6"/>
        <v>0</v>
      </c>
      <c r="J40" s="184">
        <f t="shared" si="6"/>
        <v>0</v>
      </c>
      <c r="K40" s="184">
        <f t="shared" si="6"/>
        <v>0</v>
      </c>
      <c r="L40" s="184">
        <f t="shared" si="6"/>
        <v>0</v>
      </c>
      <c r="M40" s="185">
        <f t="shared" si="6"/>
        <v>0</v>
      </c>
    </row>
    <row r="41" spans="1:13" s="1" customFormat="1" ht="12.75">
      <c r="A41" s="186"/>
      <c r="B41" s="187"/>
      <c r="C41" s="188"/>
      <c r="D41" s="189"/>
      <c r="E41" s="190"/>
      <c r="F41" s="190"/>
      <c r="G41" s="190"/>
      <c r="H41" s="343"/>
      <c r="I41" s="191"/>
      <c r="J41" s="192"/>
      <c r="K41" s="192"/>
      <c r="L41" s="192"/>
      <c r="M41" s="193"/>
    </row>
    <row r="42" spans="1:13" s="1" customFormat="1" ht="12.75">
      <c r="A42" s="27"/>
      <c r="B42" s="15">
        <v>85415</v>
      </c>
      <c r="C42" s="194" t="s">
        <v>188</v>
      </c>
      <c r="D42" s="336">
        <v>20000</v>
      </c>
      <c r="E42" s="337">
        <v>20000</v>
      </c>
      <c r="F42" s="337">
        <v>0</v>
      </c>
      <c r="G42" s="337">
        <v>0</v>
      </c>
      <c r="H42" s="344">
        <v>0</v>
      </c>
      <c r="I42" s="338">
        <v>0</v>
      </c>
      <c r="J42" s="339">
        <v>0</v>
      </c>
      <c r="K42" s="339">
        <v>0</v>
      </c>
      <c r="L42" s="339">
        <v>0</v>
      </c>
      <c r="M42" s="340">
        <v>0</v>
      </c>
    </row>
    <row r="43" spans="1:13" s="1" customFormat="1" ht="12.75">
      <c r="A43" s="28"/>
      <c r="B43" s="380"/>
      <c r="C43" s="381"/>
      <c r="D43" s="350"/>
      <c r="E43" s="190"/>
      <c r="F43" s="190"/>
      <c r="G43" s="190"/>
      <c r="H43" s="382"/>
      <c r="I43" s="191"/>
      <c r="J43" s="192"/>
      <c r="K43" s="192"/>
      <c r="L43" s="192"/>
      <c r="M43" s="353"/>
    </row>
    <row r="44" spans="1:13" s="7" customFormat="1" ht="12.75">
      <c r="A44" s="180">
        <v>921</v>
      </c>
      <c r="B44" s="181"/>
      <c r="C44" s="376" t="s">
        <v>61</v>
      </c>
      <c r="D44" s="183">
        <f aca="true" t="shared" si="7" ref="D44:M44">SUM(D46,D48,D50)</f>
        <v>30500</v>
      </c>
      <c r="E44" s="184">
        <f t="shared" si="7"/>
        <v>14500</v>
      </c>
      <c r="F44" s="184">
        <f t="shared" si="7"/>
        <v>0</v>
      </c>
      <c r="G44" s="184">
        <f t="shared" si="7"/>
        <v>0</v>
      </c>
      <c r="H44" s="378">
        <f t="shared" si="7"/>
        <v>0</v>
      </c>
      <c r="I44" s="183">
        <f t="shared" si="7"/>
        <v>101000</v>
      </c>
      <c r="J44" s="184">
        <f t="shared" si="7"/>
        <v>101000</v>
      </c>
      <c r="K44" s="184">
        <f t="shared" si="7"/>
        <v>0</v>
      </c>
      <c r="L44" s="184">
        <f t="shared" si="7"/>
        <v>0</v>
      </c>
      <c r="M44" s="379">
        <f t="shared" si="7"/>
        <v>0</v>
      </c>
    </row>
    <row r="45" spans="1:13" s="1" customFormat="1" ht="12.75">
      <c r="A45" s="186"/>
      <c r="B45" s="187"/>
      <c r="C45" s="188"/>
      <c r="D45" s="189"/>
      <c r="E45" s="190"/>
      <c r="F45" s="190"/>
      <c r="G45" s="190"/>
      <c r="H45" s="343"/>
      <c r="I45" s="191"/>
      <c r="J45" s="192"/>
      <c r="K45" s="192"/>
      <c r="L45" s="192"/>
      <c r="M45" s="193"/>
    </row>
    <row r="46" spans="1:13" s="1" customFormat="1" ht="12.75">
      <c r="A46" s="186"/>
      <c r="B46" s="15">
        <v>92109</v>
      </c>
      <c r="C46" s="377" t="s">
        <v>180</v>
      </c>
      <c r="D46" s="336">
        <v>14500</v>
      </c>
      <c r="E46" s="337">
        <v>14500</v>
      </c>
      <c r="F46" s="337">
        <v>0</v>
      </c>
      <c r="G46" s="337">
        <v>0</v>
      </c>
      <c r="H46" s="344">
        <v>0</v>
      </c>
      <c r="I46" s="338">
        <v>81000</v>
      </c>
      <c r="J46" s="339">
        <v>81000</v>
      </c>
      <c r="K46" s="339">
        <v>0</v>
      </c>
      <c r="L46" s="339">
        <v>0</v>
      </c>
      <c r="M46" s="340">
        <v>0</v>
      </c>
    </row>
    <row r="47" spans="1:13" s="1" customFormat="1" ht="12.75">
      <c r="A47" s="186"/>
      <c r="B47" s="187"/>
      <c r="C47" s="188"/>
      <c r="D47" s="189"/>
      <c r="E47" s="190"/>
      <c r="F47" s="190"/>
      <c r="G47" s="190"/>
      <c r="H47" s="343"/>
      <c r="I47" s="191"/>
      <c r="J47" s="192"/>
      <c r="K47" s="192"/>
      <c r="L47" s="192"/>
      <c r="M47" s="193"/>
    </row>
    <row r="48" spans="1:13" s="1" customFormat="1" ht="12.75">
      <c r="A48" s="28"/>
      <c r="B48" s="15">
        <v>92116</v>
      </c>
      <c r="C48" s="377" t="s">
        <v>189</v>
      </c>
      <c r="D48" s="336">
        <v>0</v>
      </c>
      <c r="E48" s="337">
        <v>0</v>
      </c>
      <c r="F48" s="337">
        <v>0</v>
      </c>
      <c r="G48" s="337">
        <v>0</v>
      </c>
      <c r="H48" s="344">
        <v>0</v>
      </c>
      <c r="I48" s="338">
        <v>20000</v>
      </c>
      <c r="J48" s="339">
        <v>20000</v>
      </c>
      <c r="K48" s="339">
        <v>0</v>
      </c>
      <c r="L48" s="339">
        <v>0</v>
      </c>
      <c r="M48" s="340">
        <v>0</v>
      </c>
    </row>
    <row r="49" spans="1:13" s="1" customFormat="1" ht="12.75">
      <c r="A49" s="186"/>
      <c r="B49" s="187"/>
      <c r="C49" s="188"/>
      <c r="D49" s="189"/>
      <c r="E49" s="190"/>
      <c r="F49" s="190"/>
      <c r="G49" s="190"/>
      <c r="H49" s="343"/>
      <c r="I49" s="191"/>
      <c r="J49" s="192"/>
      <c r="K49" s="192"/>
      <c r="L49" s="192"/>
      <c r="M49" s="193"/>
    </row>
    <row r="50" spans="1:13" s="1" customFormat="1" ht="13.5" thickBot="1">
      <c r="A50" s="27"/>
      <c r="B50" s="15">
        <v>92120</v>
      </c>
      <c r="C50" s="377" t="s">
        <v>190</v>
      </c>
      <c r="D50" s="336">
        <v>16000</v>
      </c>
      <c r="E50" s="337">
        <v>0</v>
      </c>
      <c r="F50" s="337">
        <v>0</v>
      </c>
      <c r="G50" s="337">
        <v>0</v>
      </c>
      <c r="H50" s="344">
        <v>0</v>
      </c>
      <c r="I50" s="338">
        <v>0</v>
      </c>
      <c r="J50" s="339">
        <v>0</v>
      </c>
      <c r="K50" s="339">
        <v>0</v>
      </c>
      <c r="L50" s="339">
        <v>0</v>
      </c>
      <c r="M50" s="340">
        <v>0</v>
      </c>
    </row>
    <row r="51" spans="1:13" s="6" customFormat="1" ht="30" customHeight="1" thickBot="1">
      <c r="A51" s="795" t="s">
        <v>5</v>
      </c>
      <c r="B51" s="796"/>
      <c r="C51" s="797"/>
      <c r="D51" s="341">
        <f>SUM(D10+D16+D22+D26+D30+D34+D40+D44)</f>
        <v>649139</v>
      </c>
      <c r="E51" s="195">
        <f aca="true" t="shared" si="8" ref="E51:M51">SUM(E10+E16+E22+E26+E30+E34+E40+E44)</f>
        <v>41500</v>
      </c>
      <c r="F51" s="195">
        <f t="shared" si="8"/>
        <v>11400</v>
      </c>
      <c r="G51" s="195">
        <f t="shared" si="8"/>
        <v>313875</v>
      </c>
      <c r="H51" s="345">
        <f t="shared" si="8"/>
        <v>0</v>
      </c>
      <c r="I51" s="341">
        <f t="shared" si="8"/>
        <v>294395</v>
      </c>
      <c r="J51" s="195">
        <f t="shared" si="8"/>
        <v>104000</v>
      </c>
      <c r="K51" s="195">
        <f t="shared" si="8"/>
        <v>4800</v>
      </c>
      <c r="L51" s="195">
        <f t="shared" si="8"/>
        <v>0</v>
      </c>
      <c r="M51" s="751">
        <f t="shared" si="8"/>
        <v>0</v>
      </c>
    </row>
    <row r="53" ht="12.75">
      <c r="I53" s="23"/>
    </row>
    <row r="54" spans="6:8" ht="12.75">
      <c r="F54" s="19"/>
      <c r="G54" s="30"/>
      <c r="H54" s="19"/>
    </row>
    <row r="55" spans="7:10" ht="12.75">
      <c r="G55" s="393" t="s">
        <v>195</v>
      </c>
      <c r="H55" s="393"/>
      <c r="I55" s="393"/>
      <c r="J55" s="394">
        <f>SUM(I51-D51)</f>
        <v>-354744</v>
      </c>
    </row>
    <row r="56" spans="7:10" ht="12.75">
      <c r="G56" s="393"/>
      <c r="H56" s="393"/>
      <c r="I56" s="393"/>
      <c r="J56" s="395"/>
    </row>
    <row r="57" spans="3:10" ht="12.75">
      <c r="C57" s="196"/>
      <c r="D57" s="197"/>
      <c r="E57" s="19"/>
      <c r="G57" s="196" t="s">
        <v>164</v>
      </c>
      <c r="H57" s="393"/>
      <c r="I57" s="393"/>
      <c r="J57" s="395"/>
    </row>
    <row r="58" spans="3:10" ht="12.75">
      <c r="C58" s="196"/>
      <c r="D58" s="197"/>
      <c r="E58" s="19"/>
      <c r="G58" s="393" t="s">
        <v>196</v>
      </c>
      <c r="H58" s="393"/>
      <c r="I58" s="393"/>
      <c r="J58" s="395">
        <f>SUM('Wydatki majątkowe - własne'!D55)</f>
        <v>-9078479</v>
      </c>
    </row>
    <row r="59" spans="3:11" ht="12.75">
      <c r="C59" s="196"/>
      <c r="D59" s="197"/>
      <c r="G59" s="196" t="s">
        <v>263</v>
      </c>
      <c r="H59" s="393"/>
      <c r="I59" s="393"/>
      <c r="J59" s="395">
        <f>SUM('Wydatki majątkowe -porozumienia'!D19)</f>
        <v>-1420000</v>
      </c>
      <c r="K59" s="19"/>
    </row>
    <row r="60" spans="3:11" ht="12.75">
      <c r="C60" s="196"/>
      <c r="D60" s="197"/>
      <c r="G60" s="196" t="s">
        <v>262</v>
      </c>
      <c r="H60" s="393"/>
      <c r="I60" s="393"/>
      <c r="J60" s="395">
        <f>SUM('Wydatki majątkowe -pomoc finans'!D25)</f>
        <v>-948369</v>
      </c>
      <c r="K60" s="19"/>
    </row>
    <row r="61" spans="3:10" ht="12.75">
      <c r="C61" s="196"/>
      <c r="D61" s="197"/>
      <c r="G61" s="393"/>
      <c r="H61" s="393"/>
      <c r="I61" s="801">
        <f>SUM(J58:J60)</f>
        <v>-11446848</v>
      </c>
      <c r="J61" s="801"/>
    </row>
    <row r="62" spans="3:4" ht="12.75">
      <c r="C62" s="196"/>
      <c r="D62" s="196"/>
    </row>
    <row r="63" spans="3:10" ht="12.75">
      <c r="C63" s="196"/>
      <c r="D63" s="30"/>
      <c r="G63" s="804" t="s">
        <v>264</v>
      </c>
      <c r="H63" s="804"/>
      <c r="I63" s="802">
        <f>SUM(J55+I61)</f>
        <v>-11801592</v>
      </c>
      <c r="J63" s="803"/>
    </row>
    <row r="64" ht="12.75">
      <c r="F64" s="19"/>
    </row>
  </sheetData>
  <sheetProtection/>
  <mergeCells count="15">
    <mergeCell ref="L1:M1"/>
    <mergeCell ref="A3:M3"/>
    <mergeCell ref="A5:A7"/>
    <mergeCell ref="B5:B7"/>
    <mergeCell ref="C5:C7"/>
    <mergeCell ref="D5:H5"/>
    <mergeCell ref="I5:M5"/>
    <mergeCell ref="D6:D7"/>
    <mergeCell ref="A51:C51"/>
    <mergeCell ref="J6:M6"/>
    <mergeCell ref="I61:J61"/>
    <mergeCell ref="I63:J63"/>
    <mergeCell ref="G63:H63"/>
    <mergeCell ref="E6:H6"/>
    <mergeCell ref="I6:I7"/>
  </mergeCells>
  <printOptions horizontalCentered="1"/>
  <pageMargins left="0.1968503937007874" right="0.1968503937007874" top="0.4724409448818898" bottom="0.1968503937007874" header="0.5118110236220472" footer="0.5118110236220472"/>
  <pageSetup horizontalDpi="1200" verticalDpi="12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58"/>
  <sheetViews>
    <sheetView showGridLines="0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358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770" t="s">
        <v>19</v>
      </c>
      <c r="B4" s="770"/>
      <c r="C4" s="770"/>
      <c r="D4" s="770"/>
      <c r="E4" s="770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07" t="s">
        <v>0</v>
      </c>
      <c r="B6" s="810" t="s">
        <v>1</v>
      </c>
      <c r="C6" s="825" t="s">
        <v>2</v>
      </c>
      <c r="D6" s="819" t="s">
        <v>3</v>
      </c>
      <c r="E6" s="822" t="s">
        <v>4</v>
      </c>
    </row>
    <row r="7" spans="1:5" s="1" customFormat="1" ht="12.75">
      <c r="A7" s="808"/>
      <c r="B7" s="811"/>
      <c r="C7" s="826"/>
      <c r="D7" s="820"/>
      <c r="E7" s="823"/>
    </row>
    <row r="8" spans="1:5" s="1" customFormat="1" ht="59.25" customHeight="1">
      <c r="A8" s="809"/>
      <c r="B8" s="812"/>
      <c r="C8" s="827"/>
      <c r="D8" s="821"/>
      <c r="E8" s="824"/>
    </row>
    <row r="9" spans="1:5" s="3" customFormat="1" ht="12" thickBot="1">
      <c r="A9" s="8">
        <v>1</v>
      </c>
      <c r="B9" s="9">
        <v>2</v>
      </c>
      <c r="C9" s="35">
        <v>3</v>
      </c>
      <c r="D9" s="32">
        <v>4</v>
      </c>
      <c r="E9" s="13">
        <v>5</v>
      </c>
    </row>
    <row r="10" spans="1:5" s="1" customFormat="1" ht="12.75">
      <c r="A10" s="28"/>
      <c r="B10" s="10"/>
      <c r="C10" s="36"/>
      <c r="D10" s="37"/>
      <c r="E10" s="31"/>
    </row>
    <row r="11" spans="1:5" s="7" customFormat="1" ht="25.5">
      <c r="A11" s="29">
        <v>400</v>
      </c>
      <c r="B11" s="11"/>
      <c r="C11" s="40" t="s">
        <v>191</v>
      </c>
      <c r="D11" s="38">
        <f>SUM(D13)</f>
        <v>400000</v>
      </c>
      <c r="E11" s="39">
        <f>SUM(E13)</f>
        <v>0</v>
      </c>
    </row>
    <row r="12" spans="1:5" s="1" customFormat="1" ht="12.75">
      <c r="A12" s="28"/>
      <c r="B12" s="10"/>
      <c r="C12" s="36"/>
      <c r="D12" s="33"/>
      <c r="E12" s="16"/>
    </row>
    <row r="13" spans="1:5" s="1" customFormat="1" ht="12.75">
      <c r="A13" s="27"/>
      <c r="B13" s="15">
        <v>40002</v>
      </c>
      <c r="C13" s="314" t="s">
        <v>165</v>
      </c>
      <c r="D13" s="384">
        <v>400000</v>
      </c>
      <c r="E13" s="17">
        <v>0</v>
      </c>
    </row>
    <row r="14" spans="1:5" s="1" customFormat="1" ht="12.75">
      <c r="A14" s="28"/>
      <c r="B14" s="10"/>
      <c r="C14" s="188"/>
      <c r="D14" s="385"/>
      <c r="E14" s="31"/>
    </row>
    <row r="15" spans="1:5" s="7" customFormat="1" ht="12.75">
      <c r="A15" s="29">
        <v>600</v>
      </c>
      <c r="B15" s="11"/>
      <c r="C15" s="182" t="s">
        <v>170</v>
      </c>
      <c r="D15" s="386">
        <f>SUM(D17)</f>
        <v>15000</v>
      </c>
      <c r="E15" s="39">
        <f>SUM(E17)</f>
        <v>0</v>
      </c>
    </row>
    <row r="16" spans="1:5" s="1" customFormat="1" ht="12.75">
      <c r="A16" s="28"/>
      <c r="B16" s="10"/>
      <c r="C16" s="188"/>
      <c r="D16" s="387"/>
      <c r="E16" s="16"/>
    </row>
    <row r="17" spans="1:5" s="1" customFormat="1" ht="12.75">
      <c r="A17" s="27"/>
      <c r="B17" s="15">
        <v>60016</v>
      </c>
      <c r="C17" s="383" t="s">
        <v>172</v>
      </c>
      <c r="D17" s="384">
        <v>15000</v>
      </c>
      <c r="E17" s="17">
        <v>0</v>
      </c>
    </row>
    <row r="18" spans="1:5" s="1" customFormat="1" ht="12.75">
      <c r="A18" s="28"/>
      <c r="B18" s="368"/>
      <c r="C18" s="369"/>
      <c r="D18" s="387"/>
      <c r="E18" s="16"/>
    </row>
    <row r="19" spans="1:5" s="555" customFormat="1" ht="12.75">
      <c r="A19" s="561">
        <v>630</v>
      </c>
      <c r="B19" s="556"/>
      <c r="C19" s="562" t="s">
        <v>260</v>
      </c>
      <c r="D19" s="386">
        <f>SUM(D21)</f>
        <v>30000</v>
      </c>
      <c r="E19" s="39">
        <f>SUM(E21)</f>
        <v>0</v>
      </c>
    </row>
    <row r="20" spans="1:5" s="1" customFormat="1" ht="12.75">
      <c r="A20" s="28"/>
      <c r="B20" s="10"/>
      <c r="C20" s="188"/>
      <c r="D20" s="559"/>
      <c r="E20" s="390"/>
    </row>
    <row r="21" spans="1:5" s="1" customFormat="1" ht="12.75">
      <c r="A21" s="27"/>
      <c r="B21" s="560">
        <v>63003</v>
      </c>
      <c r="C21" s="194" t="s">
        <v>219</v>
      </c>
      <c r="D21" s="384">
        <v>30000</v>
      </c>
      <c r="E21" s="17">
        <v>0</v>
      </c>
    </row>
    <row r="22" spans="1:5" s="1" customFormat="1" ht="12.75">
      <c r="A22" s="28"/>
      <c r="B22" s="10"/>
      <c r="C22" s="188"/>
      <c r="D22" s="385"/>
      <c r="E22" s="31"/>
    </row>
    <row r="23" spans="1:5" s="7" customFormat="1" ht="12.75">
      <c r="A23" s="29">
        <v>700</v>
      </c>
      <c r="B23" s="11"/>
      <c r="C23" s="306" t="s">
        <v>173</v>
      </c>
      <c r="D23" s="386">
        <f>SUM(D25:D27)</f>
        <v>2950000</v>
      </c>
      <c r="E23" s="39">
        <f>SUM(E25:E27)</f>
        <v>0</v>
      </c>
    </row>
    <row r="24" spans="1:5" s="1" customFormat="1" ht="12.75">
      <c r="A24" s="28"/>
      <c r="B24" s="10"/>
      <c r="C24" s="36"/>
      <c r="D24" s="33"/>
      <c r="E24" s="16"/>
    </row>
    <row r="25" spans="1:5" s="1" customFormat="1" ht="12.75">
      <c r="A25" s="28"/>
      <c r="B25" s="15">
        <v>70001</v>
      </c>
      <c r="C25" s="41" t="s">
        <v>174</v>
      </c>
      <c r="D25" s="34">
        <v>1450000</v>
      </c>
      <c r="E25" s="17">
        <v>0</v>
      </c>
    </row>
    <row r="26" spans="1:5" s="1" customFormat="1" ht="12.75">
      <c r="A26" s="28"/>
      <c r="B26" s="10"/>
      <c r="C26" s="388"/>
      <c r="D26" s="389"/>
      <c r="E26" s="390"/>
    </row>
    <row r="27" spans="1:5" s="1" customFormat="1" ht="12.75">
      <c r="A27" s="27"/>
      <c r="B27" s="15">
        <v>70095</v>
      </c>
      <c r="C27" s="563" t="s">
        <v>159</v>
      </c>
      <c r="D27" s="34">
        <v>1500000</v>
      </c>
      <c r="E27" s="17">
        <v>0</v>
      </c>
    </row>
    <row r="28" spans="1:5" s="1" customFormat="1" ht="12.75">
      <c r="A28" s="28"/>
      <c r="B28" s="10"/>
      <c r="C28" s="36"/>
      <c r="D28" s="37"/>
      <c r="E28" s="31"/>
    </row>
    <row r="29" spans="1:5" s="7" customFormat="1" ht="12.75">
      <c r="A29" s="29">
        <v>750</v>
      </c>
      <c r="B29" s="11"/>
      <c r="C29" s="40" t="s">
        <v>46</v>
      </c>
      <c r="D29" s="38">
        <f>SUM(D31:D33)</f>
        <v>656603</v>
      </c>
      <c r="E29" s="39">
        <f>SUM(E31:E33)</f>
        <v>0</v>
      </c>
    </row>
    <row r="30" spans="1:5" s="7" customFormat="1" ht="12.75">
      <c r="A30" s="29"/>
      <c r="B30" s="564"/>
      <c r="C30" s="565"/>
      <c r="D30" s="566"/>
      <c r="E30" s="31"/>
    </row>
    <row r="31" spans="1:5" s="7" customFormat="1" ht="12.75">
      <c r="A31" s="29"/>
      <c r="B31" s="15">
        <v>75023</v>
      </c>
      <c r="C31" s="377" t="s">
        <v>248</v>
      </c>
      <c r="D31" s="567">
        <f>612129-526</f>
        <v>611603</v>
      </c>
      <c r="E31" s="568">
        <v>0</v>
      </c>
    </row>
    <row r="32" spans="1:5" s="1" customFormat="1" ht="12.75">
      <c r="A32" s="28"/>
      <c r="B32" s="10"/>
      <c r="C32" s="36"/>
      <c r="D32" s="33"/>
      <c r="E32" s="16"/>
    </row>
    <row r="33" spans="1:5" s="1" customFormat="1" ht="12.75">
      <c r="A33" s="27"/>
      <c r="B33" s="15">
        <v>75075</v>
      </c>
      <c r="C33" s="41" t="s">
        <v>186</v>
      </c>
      <c r="D33" s="34">
        <v>45000</v>
      </c>
      <c r="E33" s="17">
        <v>0</v>
      </c>
    </row>
    <row r="34" spans="1:5" s="1" customFormat="1" ht="12.75">
      <c r="A34" s="28"/>
      <c r="B34" s="10"/>
      <c r="C34" s="36"/>
      <c r="D34" s="37"/>
      <c r="E34" s="31"/>
    </row>
    <row r="35" spans="1:5" s="7" customFormat="1" ht="12.75">
      <c r="A35" s="29">
        <v>801</v>
      </c>
      <c r="B35" s="11"/>
      <c r="C35" s="40" t="s">
        <v>160</v>
      </c>
      <c r="D35" s="38">
        <f>SUM(D37)</f>
        <v>37500</v>
      </c>
      <c r="E35" s="39">
        <f>SUM(E37)</f>
        <v>0</v>
      </c>
    </row>
    <row r="36" spans="1:5" s="1" customFormat="1" ht="12.75">
      <c r="A36" s="28"/>
      <c r="B36" s="10"/>
      <c r="C36" s="36"/>
      <c r="D36" s="33"/>
      <c r="E36" s="16"/>
    </row>
    <row r="37" spans="1:5" s="1" customFormat="1" ht="12.75">
      <c r="A37" s="27"/>
      <c r="B37" s="15">
        <v>80104</v>
      </c>
      <c r="C37" s="41" t="s">
        <v>177</v>
      </c>
      <c r="D37" s="34">
        <v>37500</v>
      </c>
      <c r="E37" s="17">
        <v>0</v>
      </c>
    </row>
    <row r="38" spans="1:5" s="1" customFormat="1" ht="12.75">
      <c r="A38" s="28"/>
      <c r="B38" s="10"/>
      <c r="C38" s="36"/>
      <c r="D38" s="37"/>
      <c r="E38" s="31"/>
    </row>
    <row r="39" spans="1:5" s="7" customFormat="1" ht="25.5">
      <c r="A39" s="29">
        <v>900</v>
      </c>
      <c r="B39" s="11"/>
      <c r="C39" s="40" t="s">
        <v>161</v>
      </c>
      <c r="D39" s="38">
        <f>SUM(D41:D47)</f>
        <v>4318778</v>
      </c>
      <c r="E39" s="39">
        <f>SUM(E41:E47)</f>
        <v>2000</v>
      </c>
    </row>
    <row r="40" spans="1:5" s="1" customFormat="1" ht="12.75">
      <c r="A40" s="28"/>
      <c r="B40" s="10"/>
      <c r="C40" s="36"/>
      <c r="D40" s="33"/>
      <c r="E40" s="16"/>
    </row>
    <row r="41" spans="1:5" s="1" customFormat="1" ht="12.75">
      <c r="A41" s="28"/>
      <c r="B41" s="15">
        <v>90001</v>
      </c>
      <c r="C41" s="391" t="s">
        <v>166</v>
      </c>
      <c r="D41" s="34">
        <f>2374000-325000</f>
        <v>2049000</v>
      </c>
      <c r="E41" s="17">
        <v>2000</v>
      </c>
    </row>
    <row r="42" spans="1:5" s="1" customFormat="1" ht="12.75">
      <c r="A42" s="28"/>
      <c r="B42" s="10"/>
      <c r="C42" s="36"/>
      <c r="D42" s="389"/>
      <c r="E42" s="390"/>
    </row>
    <row r="43" spans="1:5" s="1" customFormat="1" ht="12.75">
      <c r="A43" s="28"/>
      <c r="B43" s="15">
        <v>90002</v>
      </c>
      <c r="C43" s="391" t="s">
        <v>167</v>
      </c>
      <c r="D43" s="34">
        <v>1136500</v>
      </c>
      <c r="E43" s="17">
        <v>0</v>
      </c>
    </row>
    <row r="44" spans="1:5" s="1" customFormat="1" ht="12.75">
      <c r="A44" s="28"/>
      <c r="B44" s="10"/>
      <c r="C44" s="36"/>
      <c r="D44" s="389"/>
      <c r="E44" s="390"/>
    </row>
    <row r="45" spans="1:5" s="1" customFormat="1" ht="12.75">
      <c r="A45" s="28"/>
      <c r="B45" s="15">
        <v>90015</v>
      </c>
      <c r="C45" s="391" t="s">
        <v>192</v>
      </c>
      <c r="D45" s="34">
        <f>16900-5500</f>
        <v>11400</v>
      </c>
      <c r="E45" s="17">
        <v>0</v>
      </c>
    </row>
    <row r="46" spans="1:5" s="1" customFormat="1" ht="12.75">
      <c r="A46" s="28"/>
      <c r="B46" s="10"/>
      <c r="C46" s="36"/>
      <c r="D46" s="389"/>
      <c r="E46" s="390"/>
    </row>
    <row r="47" spans="1:5" s="1" customFormat="1" ht="12.75">
      <c r="A47" s="27"/>
      <c r="B47" s="15">
        <v>90095</v>
      </c>
      <c r="C47" s="41" t="s">
        <v>159</v>
      </c>
      <c r="D47" s="34">
        <v>1121878</v>
      </c>
      <c r="E47" s="17">
        <v>0</v>
      </c>
    </row>
    <row r="48" spans="1:5" s="1" customFormat="1" ht="12.75">
      <c r="A48" s="28"/>
      <c r="B48" s="10"/>
      <c r="C48" s="388"/>
      <c r="D48" s="389"/>
      <c r="E48" s="390"/>
    </row>
    <row r="49" spans="1:5" s="7" customFormat="1" ht="12.75">
      <c r="A49" s="29">
        <v>921</v>
      </c>
      <c r="B49" s="11"/>
      <c r="C49" s="40" t="s">
        <v>61</v>
      </c>
      <c r="D49" s="38">
        <f>SUM(D51)</f>
        <v>679598</v>
      </c>
      <c r="E49" s="39">
        <f>SUM(E51)</f>
        <v>7000</v>
      </c>
    </row>
    <row r="50" spans="1:5" s="1" customFormat="1" ht="12.75">
      <c r="A50" s="28"/>
      <c r="B50" s="10"/>
      <c r="C50" s="36"/>
      <c r="D50" s="33"/>
      <c r="E50" s="16"/>
    </row>
    <row r="51" spans="1:5" s="1" customFormat="1" ht="13.5" thickBot="1">
      <c r="A51" s="27"/>
      <c r="B51" s="15">
        <v>92109</v>
      </c>
      <c r="C51" s="41" t="s">
        <v>180</v>
      </c>
      <c r="D51" s="34">
        <f>682598-3000</f>
        <v>679598</v>
      </c>
      <c r="E51" s="17">
        <v>7000</v>
      </c>
    </row>
    <row r="52" spans="1:5" s="6" customFormat="1" ht="30" customHeight="1" thickBot="1">
      <c r="A52" s="795" t="s">
        <v>5</v>
      </c>
      <c r="B52" s="796"/>
      <c r="C52" s="797"/>
      <c r="D52" s="341">
        <f>SUM(D11+D15+D19+D23+D29+D35+D39+D49)</f>
        <v>9087479</v>
      </c>
      <c r="E52" s="18">
        <f>SUM(E11+E15+E19+E23+E29+E35+E39+E49)</f>
        <v>9000</v>
      </c>
    </row>
    <row r="54" ht="12.75">
      <c r="D54" s="19"/>
    </row>
    <row r="55" spans="3:4" ht="12.75">
      <c r="C55" s="21"/>
      <c r="D55" s="569">
        <f>SUM(E52-D52)</f>
        <v>-9078479</v>
      </c>
    </row>
    <row r="57" ht="12.75">
      <c r="C57" s="19"/>
    </row>
    <row r="58" spans="3:4" ht="12.75">
      <c r="C58" s="310" t="s">
        <v>261</v>
      </c>
      <c r="D58" s="573">
        <f>SUM(D55+'Wydatki majątkowe -porozumienia'!D19+'Wydatki majątkowe -pomoc finans'!D25)</f>
        <v>-11446848</v>
      </c>
    </row>
  </sheetData>
  <sheetProtection/>
  <mergeCells count="7">
    <mergeCell ref="A4:E4"/>
    <mergeCell ref="D6:D8"/>
    <mergeCell ref="E6:E8"/>
    <mergeCell ref="A52:C52"/>
    <mergeCell ref="A6:A8"/>
    <mergeCell ref="B6:B8"/>
    <mergeCell ref="C6:C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E21"/>
  <sheetViews>
    <sheetView showGridLines="0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359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770" t="s">
        <v>193</v>
      </c>
      <c r="B4" s="770"/>
      <c r="C4" s="770"/>
      <c r="D4" s="770"/>
      <c r="E4" s="770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07" t="s">
        <v>0</v>
      </c>
      <c r="B6" s="810" t="s">
        <v>1</v>
      </c>
      <c r="C6" s="825" t="s">
        <v>2</v>
      </c>
      <c r="D6" s="819" t="s">
        <v>3</v>
      </c>
      <c r="E6" s="822" t="s">
        <v>4</v>
      </c>
    </row>
    <row r="7" spans="1:5" s="1" customFormat="1" ht="12.75">
      <c r="A7" s="808"/>
      <c r="B7" s="811"/>
      <c r="C7" s="826"/>
      <c r="D7" s="820"/>
      <c r="E7" s="823"/>
    </row>
    <row r="8" spans="1:5" s="1" customFormat="1" ht="59.25" customHeight="1">
      <c r="A8" s="809"/>
      <c r="B8" s="812"/>
      <c r="C8" s="827"/>
      <c r="D8" s="821"/>
      <c r="E8" s="824"/>
    </row>
    <row r="9" spans="1:5" s="3" customFormat="1" ht="12" thickBot="1">
      <c r="A9" s="8">
        <v>1</v>
      </c>
      <c r="B9" s="9">
        <v>2</v>
      </c>
      <c r="C9" s="35">
        <v>3</v>
      </c>
      <c r="D9" s="32">
        <v>4</v>
      </c>
      <c r="E9" s="13">
        <v>5</v>
      </c>
    </row>
    <row r="10" spans="1:5" s="1" customFormat="1" ht="12.75">
      <c r="A10" s="28"/>
      <c r="B10" s="10"/>
      <c r="C10" s="36"/>
      <c r="D10" s="37"/>
      <c r="E10" s="31"/>
    </row>
    <row r="11" spans="1:5" s="7" customFormat="1" ht="12.75">
      <c r="A11" s="29">
        <v>600</v>
      </c>
      <c r="B11" s="11"/>
      <c r="C11" s="182" t="s">
        <v>170</v>
      </c>
      <c r="D11" s="386">
        <f>SUM(D13:D15)</f>
        <v>1420000</v>
      </c>
      <c r="E11" s="39">
        <f>SUM(E13:E15)</f>
        <v>0</v>
      </c>
    </row>
    <row r="12" spans="1:5" s="1" customFormat="1" ht="12.75">
      <c r="A12" s="28"/>
      <c r="B12" s="10"/>
      <c r="C12" s="188"/>
      <c r="D12" s="387"/>
      <c r="E12" s="16"/>
    </row>
    <row r="13" spans="1:5" s="1" customFormat="1" ht="12.75">
      <c r="A13" s="28"/>
      <c r="B13" s="15">
        <v>60013</v>
      </c>
      <c r="C13" s="383" t="s">
        <v>194</v>
      </c>
      <c r="D13" s="384">
        <v>1320000</v>
      </c>
      <c r="E13" s="17">
        <v>0</v>
      </c>
    </row>
    <row r="14" spans="1:5" s="1" customFormat="1" ht="12.75">
      <c r="A14" s="28"/>
      <c r="B14" s="187"/>
      <c r="C14" s="570"/>
      <c r="D14" s="559"/>
      <c r="E14" s="390"/>
    </row>
    <row r="15" spans="1:5" s="1" customFormat="1" ht="13.5" thickBot="1">
      <c r="A15" s="28"/>
      <c r="B15" s="15">
        <v>60014</v>
      </c>
      <c r="C15" s="383" t="s">
        <v>182</v>
      </c>
      <c r="D15" s="559">
        <v>100000</v>
      </c>
      <c r="E15" s="390">
        <v>0</v>
      </c>
    </row>
    <row r="16" spans="1:5" s="6" customFormat="1" ht="30" customHeight="1" thickBot="1">
      <c r="A16" s="795" t="s">
        <v>5</v>
      </c>
      <c r="B16" s="796"/>
      <c r="C16" s="797"/>
      <c r="D16" s="392">
        <f>SUM(D11)</f>
        <v>1420000</v>
      </c>
      <c r="E16" s="18">
        <f>SUM(E11)</f>
        <v>0</v>
      </c>
    </row>
    <row r="18" ht="12.75">
      <c r="D18" s="19"/>
    </row>
    <row r="19" spans="3:4" ht="12.75">
      <c r="C19" s="21"/>
      <c r="D19" s="572">
        <f>SUM(E16-D16)</f>
        <v>-1420000</v>
      </c>
    </row>
    <row r="21" ht="12.75">
      <c r="C21" s="19"/>
    </row>
  </sheetData>
  <sheetProtection/>
  <mergeCells count="7">
    <mergeCell ref="A16:C16"/>
    <mergeCell ref="A4:E4"/>
    <mergeCell ref="A6:A8"/>
    <mergeCell ref="B6:B8"/>
    <mergeCell ref="C6:C8"/>
    <mergeCell ref="D6:D8"/>
    <mergeCell ref="E6:E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showGridLines="0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360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770" t="s">
        <v>243</v>
      </c>
      <c r="B4" s="770"/>
      <c r="C4" s="770"/>
      <c r="D4" s="770"/>
      <c r="E4" s="770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07" t="s">
        <v>0</v>
      </c>
      <c r="B6" s="810" t="s">
        <v>1</v>
      </c>
      <c r="C6" s="810" t="s">
        <v>2</v>
      </c>
      <c r="D6" s="828" t="s">
        <v>3</v>
      </c>
      <c r="E6" s="822" t="s">
        <v>4</v>
      </c>
    </row>
    <row r="7" spans="1:5" s="1" customFormat="1" ht="12.75">
      <c r="A7" s="808"/>
      <c r="B7" s="811"/>
      <c r="C7" s="811"/>
      <c r="D7" s="829"/>
      <c r="E7" s="823"/>
    </row>
    <row r="8" spans="1:5" s="1" customFormat="1" ht="59.25" customHeight="1">
      <c r="A8" s="809"/>
      <c r="B8" s="812"/>
      <c r="C8" s="812"/>
      <c r="D8" s="830"/>
      <c r="E8" s="824"/>
    </row>
    <row r="9" spans="1:5" s="3" customFormat="1" ht="12" thickBot="1">
      <c r="A9" s="8">
        <v>1</v>
      </c>
      <c r="B9" s="9">
        <v>2</v>
      </c>
      <c r="C9" s="176">
        <v>3</v>
      </c>
      <c r="D9" s="571">
        <v>4</v>
      </c>
      <c r="E9" s="13">
        <v>5</v>
      </c>
    </row>
    <row r="10" spans="1:5" s="1" customFormat="1" ht="12.75">
      <c r="A10" s="28"/>
      <c r="B10" s="10"/>
      <c r="C10" s="188"/>
      <c r="D10" s="385"/>
      <c r="E10" s="31"/>
    </row>
    <row r="11" spans="1:5" s="7" customFormat="1" ht="12.75">
      <c r="A11" s="29">
        <v>600</v>
      </c>
      <c r="B11" s="11"/>
      <c r="C11" s="376" t="s">
        <v>170</v>
      </c>
      <c r="D11" s="386">
        <f>SUM(D13:D17)</f>
        <v>953369</v>
      </c>
      <c r="E11" s="39">
        <f>SUM(E13:E17)</f>
        <v>0</v>
      </c>
    </row>
    <row r="12" spans="1:5" s="1" customFormat="1" ht="12.75">
      <c r="A12" s="28"/>
      <c r="B12" s="10"/>
      <c r="C12" s="188"/>
      <c r="D12" s="387"/>
      <c r="E12" s="16"/>
    </row>
    <row r="13" spans="1:5" s="1" customFormat="1" ht="12.75">
      <c r="A13" s="28"/>
      <c r="B13" s="15">
        <v>60004</v>
      </c>
      <c r="C13" s="383" t="s">
        <v>171</v>
      </c>
      <c r="D13" s="384">
        <v>300000</v>
      </c>
      <c r="E13" s="17">
        <v>0</v>
      </c>
    </row>
    <row r="14" spans="1:5" s="1" customFormat="1" ht="12.75">
      <c r="A14" s="28"/>
      <c r="B14" s="10"/>
      <c r="C14" s="188"/>
      <c r="D14" s="387"/>
      <c r="E14" s="16"/>
    </row>
    <row r="15" spans="1:5" s="1" customFormat="1" ht="12.75">
      <c r="A15" s="28"/>
      <c r="B15" s="15">
        <v>60013</v>
      </c>
      <c r="C15" s="383" t="s">
        <v>194</v>
      </c>
      <c r="D15" s="384">
        <v>453369</v>
      </c>
      <c r="E15" s="17">
        <v>0</v>
      </c>
    </row>
    <row r="16" spans="1:5" s="1" customFormat="1" ht="12.75">
      <c r="A16" s="28"/>
      <c r="B16" s="10"/>
      <c r="C16" s="570"/>
      <c r="D16" s="559"/>
      <c r="E16" s="390"/>
    </row>
    <row r="17" spans="1:5" s="1" customFormat="1" ht="12.75">
      <c r="A17" s="27"/>
      <c r="B17" s="560">
        <v>60014</v>
      </c>
      <c r="C17" s="383" t="s">
        <v>182</v>
      </c>
      <c r="D17" s="384">
        <v>200000</v>
      </c>
      <c r="E17" s="17">
        <v>0</v>
      </c>
    </row>
    <row r="18" spans="1:5" s="1" customFormat="1" ht="12.75">
      <c r="A18" s="28"/>
      <c r="B18" s="10"/>
      <c r="C18" s="188"/>
      <c r="D18" s="385"/>
      <c r="E18" s="31"/>
    </row>
    <row r="19" spans="1:5" s="7" customFormat="1" ht="12.75">
      <c r="A19" s="29">
        <v>700</v>
      </c>
      <c r="B19" s="11"/>
      <c r="C19" s="376" t="s">
        <v>173</v>
      </c>
      <c r="D19" s="386">
        <f>SUM(D21)</f>
        <v>0</v>
      </c>
      <c r="E19" s="39">
        <f>SUM(E21)</f>
        <v>5000</v>
      </c>
    </row>
    <row r="20" spans="1:5" s="1" customFormat="1" ht="12.75">
      <c r="A20" s="28"/>
      <c r="B20" s="10"/>
      <c r="C20" s="188"/>
      <c r="D20" s="387"/>
      <c r="E20" s="16"/>
    </row>
    <row r="21" spans="1:5" s="1" customFormat="1" ht="13.5" thickBot="1">
      <c r="A21" s="27"/>
      <c r="B21" s="15">
        <v>70095</v>
      </c>
      <c r="C21" s="383" t="s">
        <v>159</v>
      </c>
      <c r="D21" s="384">
        <v>0</v>
      </c>
      <c r="E21" s="17">
        <v>5000</v>
      </c>
    </row>
    <row r="22" spans="1:5" s="6" customFormat="1" ht="30" customHeight="1" thickBot="1">
      <c r="A22" s="795" t="s">
        <v>5</v>
      </c>
      <c r="B22" s="796"/>
      <c r="C22" s="797"/>
      <c r="D22" s="392">
        <f>SUM(D11+D19)</f>
        <v>953369</v>
      </c>
      <c r="E22" s="18">
        <f>SUM(E11+E19)</f>
        <v>5000</v>
      </c>
    </row>
    <row r="24" ht="12.75">
      <c r="D24" s="19"/>
    </row>
    <row r="25" spans="3:4" ht="12.75">
      <c r="C25" s="21"/>
      <c r="D25" s="572">
        <f>SUM(E22-D22)</f>
        <v>-948369</v>
      </c>
    </row>
    <row r="27" ht="12.75">
      <c r="C27" s="19"/>
    </row>
  </sheetData>
  <sheetProtection/>
  <mergeCells count="7">
    <mergeCell ref="A22:C22"/>
    <mergeCell ref="A4:E4"/>
    <mergeCell ref="A6:A8"/>
    <mergeCell ref="B6:B8"/>
    <mergeCell ref="C6:C8"/>
    <mergeCell ref="D6:D8"/>
    <mergeCell ref="E6:E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F19"/>
  <sheetViews>
    <sheetView showGridLines="0" view="pageBreakPreview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4.7109375" style="25" bestFit="1" customWidth="1"/>
    <col min="2" max="2" width="40.140625" style="25" bestFit="1" customWidth="1"/>
    <col min="3" max="3" width="17.7109375" style="25" customWidth="1"/>
    <col min="4" max="4" width="20.7109375" style="25" customWidth="1"/>
    <col min="5" max="5" width="17.8515625" style="25" customWidth="1"/>
    <col min="6" max="6" width="22.28125" style="25" customWidth="1"/>
    <col min="7" max="16384" width="9.140625" style="25" customWidth="1"/>
  </cols>
  <sheetData>
    <row r="1" spans="3:6" ht="48">
      <c r="C1" s="346"/>
      <c r="F1" s="346" t="s">
        <v>361</v>
      </c>
    </row>
    <row r="2" spans="3:4" ht="12">
      <c r="C2" s="396"/>
      <c r="D2" s="396"/>
    </row>
    <row r="3" spans="3:4" ht="12">
      <c r="C3" s="396"/>
      <c r="D3" s="396"/>
    </row>
    <row r="4" spans="3:4" ht="12">
      <c r="C4" s="396"/>
      <c r="D4" s="396"/>
    </row>
    <row r="5" spans="1:6" ht="15" customHeight="1">
      <c r="A5" s="835" t="s">
        <v>197</v>
      </c>
      <c r="B5" s="835"/>
      <c r="C5" s="835"/>
      <c r="D5" s="835"/>
      <c r="E5" s="835"/>
      <c r="F5" s="835"/>
    </row>
    <row r="6" ht="6.75" customHeight="1">
      <c r="A6" s="397"/>
    </row>
    <row r="7" spans="4:6" ht="12.75" thickBot="1">
      <c r="D7" s="398"/>
      <c r="E7" s="398"/>
      <c r="F7" s="398" t="s">
        <v>6</v>
      </c>
    </row>
    <row r="8" spans="1:6" ht="15" customHeight="1">
      <c r="A8" s="836" t="s">
        <v>7</v>
      </c>
      <c r="B8" s="838" t="s">
        <v>198</v>
      </c>
      <c r="C8" s="840" t="s">
        <v>199</v>
      </c>
      <c r="D8" s="833" t="s">
        <v>207</v>
      </c>
      <c r="E8" s="833" t="s">
        <v>266</v>
      </c>
      <c r="F8" s="833" t="s">
        <v>208</v>
      </c>
    </row>
    <row r="9" spans="1:6" ht="15" customHeight="1">
      <c r="A9" s="837"/>
      <c r="B9" s="839"/>
      <c r="C9" s="839"/>
      <c r="D9" s="834"/>
      <c r="E9" s="834"/>
      <c r="F9" s="834"/>
    </row>
    <row r="10" spans="1:6" ht="15.75" customHeight="1">
      <c r="A10" s="837"/>
      <c r="B10" s="839"/>
      <c r="C10" s="839"/>
      <c r="D10" s="834"/>
      <c r="E10" s="834"/>
      <c r="F10" s="834"/>
    </row>
    <row r="11" spans="1:6" s="403" customFormat="1" ht="12" thickBot="1">
      <c r="A11" s="400">
        <v>1</v>
      </c>
      <c r="B11" s="401">
        <v>2</v>
      </c>
      <c r="C11" s="401">
        <v>3</v>
      </c>
      <c r="D11" s="402">
        <v>4</v>
      </c>
      <c r="E11" s="402">
        <v>5</v>
      </c>
      <c r="F11" s="402">
        <v>6</v>
      </c>
    </row>
    <row r="12" spans="1:6" ht="18.75" customHeight="1">
      <c r="A12" s="831" t="s">
        <v>200</v>
      </c>
      <c r="B12" s="832"/>
      <c r="C12" s="404"/>
      <c r="D12" s="405">
        <f>SUM(D13:D15)</f>
        <v>19789827</v>
      </c>
      <c r="E12" s="405">
        <f>SUM(E13:E15)</f>
        <v>-5675000</v>
      </c>
      <c r="F12" s="405">
        <f>SUM(F13:F15)</f>
        <v>14114827</v>
      </c>
    </row>
    <row r="13" spans="1:6" ht="25.5" customHeight="1">
      <c r="A13" s="406" t="s">
        <v>8</v>
      </c>
      <c r="B13" s="407" t="s">
        <v>201</v>
      </c>
      <c r="C13" s="408" t="s">
        <v>202</v>
      </c>
      <c r="D13" s="409">
        <v>6000000</v>
      </c>
      <c r="E13" s="409">
        <f>-6000000+325000</f>
        <v>-5675000</v>
      </c>
      <c r="F13" s="409">
        <f>SUM(D13:E13)</f>
        <v>325000</v>
      </c>
    </row>
    <row r="14" spans="1:6" ht="25.5" customHeight="1">
      <c r="A14" s="406" t="s">
        <v>9</v>
      </c>
      <c r="B14" s="421" t="s">
        <v>209</v>
      </c>
      <c r="C14" s="408" t="s">
        <v>210</v>
      </c>
      <c r="D14" s="422">
        <v>4322794</v>
      </c>
      <c r="E14" s="422">
        <v>0</v>
      </c>
      <c r="F14" s="422">
        <f>SUM(D14:E14)</f>
        <v>4322794</v>
      </c>
    </row>
    <row r="15" spans="1:6" ht="25.5" customHeight="1" thickBot="1">
      <c r="A15" s="410" t="s">
        <v>10</v>
      </c>
      <c r="B15" s="411" t="s">
        <v>203</v>
      </c>
      <c r="C15" s="412" t="s">
        <v>204</v>
      </c>
      <c r="D15" s="413">
        <v>9467033</v>
      </c>
      <c r="E15" s="413">
        <v>0</v>
      </c>
      <c r="F15" s="413">
        <f>SUM(D15:E15)</f>
        <v>9467033</v>
      </c>
    </row>
    <row r="16" spans="1:6" ht="18.75" customHeight="1">
      <c r="A16" s="831" t="s">
        <v>205</v>
      </c>
      <c r="B16" s="832"/>
      <c r="C16" s="404"/>
      <c r="D16" s="405">
        <f>SUM(D17:D17)</f>
        <v>1300000</v>
      </c>
      <c r="E16" s="405">
        <f>SUM(E17:E17)</f>
        <v>0</v>
      </c>
      <c r="F16" s="405">
        <f>SUM(F17:F17)</f>
        <v>1300000</v>
      </c>
    </row>
    <row r="17" spans="1:6" ht="26.25" thickBot="1">
      <c r="A17" s="414" t="s">
        <v>8</v>
      </c>
      <c r="B17" s="415" t="s">
        <v>267</v>
      </c>
      <c r="C17" s="416" t="s">
        <v>206</v>
      </c>
      <c r="D17" s="417">
        <v>1300000</v>
      </c>
      <c r="E17" s="417">
        <v>0</v>
      </c>
      <c r="F17" s="417">
        <f>SUM(D17:E17)</f>
        <v>1300000</v>
      </c>
    </row>
    <row r="18" spans="1:4" ht="7.5" customHeight="1">
      <c r="A18" s="418"/>
      <c r="B18" s="419"/>
      <c r="C18" s="419"/>
      <c r="D18" s="419"/>
    </row>
    <row r="19" spans="1:6" ht="12.75">
      <c r="A19" s="310"/>
      <c r="B19" s="420"/>
      <c r="C19" s="420"/>
      <c r="D19" s="420"/>
      <c r="E19" s="420"/>
      <c r="F19" s="420"/>
    </row>
  </sheetData>
  <sheetProtection/>
  <mergeCells count="9">
    <mergeCell ref="A16:B16"/>
    <mergeCell ref="E8:E10"/>
    <mergeCell ref="F8:F10"/>
    <mergeCell ref="A5:F5"/>
    <mergeCell ref="A8:A10"/>
    <mergeCell ref="B8:B10"/>
    <mergeCell ref="C8:C10"/>
    <mergeCell ref="D8:D10"/>
    <mergeCell ref="A12:B1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84"/>
  <sheetViews>
    <sheetView showGridLines="0" view="pageBreakPreview" zoomScaleSheetLayoutView="100" zoomScalePageLayoutView="0" workbookViewId="0" topLeftCell="D1">
      <selection activeCell="J26" sqref="J26"/>
    </sheetView>
  </sheetViews>
  <sheetFormatPr defaultColWidth="9.140625" defaultRowHeight="12.75"/>
  <cols>
    <col min="1" max="1" width="7.7109375" style="423" bestFit="1" customWidth="1"/>
    <col min="2" max="2" width="34.421875" style="423" customWidth="1"/>
    <col min="3" max="4" width="9.421875" style="423" bestFit="1" customWidth="1"/>
    <col min="5" max="5" width="15.140625" style="423" bestFit="1" customWidth="1"/>
    <col min="6" max="6" width="13.57421875" style="423" customWidth="1"/>
    <col min="7" max="7" width="13.421875" style="423" customWidth="1"/>
    <col min="8" max="8" width="15.28125" style="423" customWidth="1"/>
    <col min="9" max="9" width="15.00390625" style="423" customWidth="1"/>
    <col min="10" max="10" width="12.7109375" style="423" customWidth="1"/>
    <col min="11" max="11" width="12.421875" style="423" bestFit="1" customWidth="1"/>
    <col min="12" max="12" width="14.140625" style="423" bestFit="1" customWidth="1"/>
    <col min="13" max="13" width="14.421875" style="423" customWidth="1"/>
    <col min="14" max="14" width="14.140625" style="423" customWidth="1"/>
    <col min="15" max="15" width="12.57421875" style="423" bestFit="1" customWidth="1"/>
    <col min="16" max="16" width="11.57421875" style="423" customWidth="1"/>
    <col min="17" max="16384" width="9.140625" style="423" customWidth="1"/>
  </cols>
  <sheetData>
    <row r="1" spans="8:15" ht="12">
      <c r="H1" s="423" t="s">
        <v>268</v>
      </c>
      <c r="L1" s="576"/>
      <c r="O1" s="577" t="s">
        <v>283</v>
      </c>
    </row>
    <row r="2" spans="12:16" ht="33.75" customHeight="1">
      <c r="L2" s="576"/>
      <c r="O2" s="861" t="s">
        <v>362</v>
      </c>
      <c r="P2" s="861"/>
    </row>
    <row r="4" spans="1:16" ht="15.75">
      <c r="A4" s="862" t="s">
        <v>269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</row>
    <row r="5" spans="1:16" ht="14.25" customHeight="1" thickBot="1">
      <c r="A5" s="424"/>
      <c r="E5" s="578"/>
      <c r="L5" s="579"/>
      <c r="M5" s="580"/>
      <c r="N5" s="581"/>
      <c r="O5" s="581"/>
      <c r="P5" s="581" t="s">
        <v>6</v>
      </c>
    </row>
    <row r="6" spans="1:16" ht="14.25" customHeight="1">
      <c r="A6" s="863" t="s">
        <v>7</v>
      </c>
      <c r="B6" s="865" t="s">
        <v>270</v>
      </c>
      <c r="C6" s="867" t="s">
        <v>0</v>
      </c>
      <c r="D6" s="851" t="s">
        <v>1</v>
      </c>
      <c r="E6" s="869" t="s">
        <v>271</v>
      </c>
      <c r="F6" s="871" t="s">
        <v>272</v>
      </c>
      <c r="G6" s="873" t="s">
        <v>156</v>
      </c>
      <c r="H6" s="873"/>
      <c r="I6" s="873"/>
      <c r="J6" s="873"/>
      <c r="K6" s="874"/>
      <c r="L6" s="867" t="s">
        <v>273</v>
      </c>
      <c r="M6" s="851" t="s">
        <v>156</v>
      </c>
      <c r="N6" s="852"/>
      <c r="O6" s="853"/>
      <c r="P6" s="854" t="s">
        <v>274</v>
      </c>
    </row>
    <row r="7" spans="1:16" ht="14.25" customHeight="1">
      <c r="A7" s="864"/>
      <c r="B7" s="866"/>
      <c r="C7" s="868"/>
      <c r="D7" s="860"/>
      <c r="E7" s="870"/>
      <c r="F7" s="872"/>
      <c r="G7" s="856" t="s">
        <v>275</v>
      </c>
      <c r="H7" s="856" t="s">
        <v>72</v>
      </c>
      <c r="I7" s="857" t="s">
        <v>156</v>
      </c>
      <c r="J7" s="857"/>
      <c r="K7" s="858"/>
      <c r="L7" s="868"/>
      <c r="M7" s="859" t="s">
        <v>276</v>
      </c>
      <c r="N7" s="583"/>
      <c r="O7" s="583"/>
      <c r="P7" s="855"/>
    </row>
    <row r="8" spans="1:16" ht="48">
      <c r="A8" s="864"/>
      <c r="B8" s="866"/>
      <c r="C8" s="868"/>
      <c r="D8" s="860"/>
      <c r="E8" s="870"/>
      <c r="F8" s="872"/>
      <c r="G8" s="856"/>
      <c r="H8" s="856"/>
      <c r="I8" s="582" t="s">
        <v>277</v>
      </c>
      <c r="J8" s="582" t="s">
        <v>278</v>
      </c>
      <c r="K8" s="584" t="s">
        <v>279</v>
      </c>
      <c r="L8" s="868"/>
      <c r="M8" s="860"/>
      <c r="N8" s="585" t="s">
        <v>280</v>
      </c>
      <c r="O8" s="585" t="s">
        <v>281</v>
      </c>
      <c r="P8" s="855"/>
    </row>
    <row r="9" spans="1:16" ht="12.75" thickBot="1">
      <c r="A9" s="625">
        <v>1</v>
      </c>
      <c r="B9" s="623">
        <v>2</v>
      </c>
      <c r="C9" s="587">
        <v>3</v>
      </c>
      <c r="D9" s="588">
        <v>4</v>
      </c>
      <c r="E9" s="586">
        <v>5</v>
      </c>
      <c r="F9" s="589">
        <v>6</v>
      </c>
      <c r="G9" s="590">
        <v>7</v>
      </c>
      <c r="H9" s="589">
        <v>8</v>
      </c>
      <c r="I9" s="591">
        <v>9</v>
      </c>
      <c r="J9" s="591">
        <v>10</v>
      </c>
      <c r="K9" s="592">
        <v>11</v>
      </c>
      <c r="L9" s="629">
        <v>12</v>
      </c>
      <c r="M9" s="593">
        <v>13</v>
      </c>
      <c r="N9" s="591">
        <v>14</v>
      </c>
      <c r="O9" s="591">
        <v>15</v>
      </c>
      <c r="P9" s="594">
        <v>16</v>
      </c>
    </row>
    <row r="10" spans="1:16" ht="12" customHeight="1">
      <c r="A10" s="845" t="s">
        <v>8</v>
      </c>
      <c r="B10" s="847" t="s">
        <v>238</v>
      </c>
      <c r="C10" s="849" t="s">
        <v>212</v>
      </c>
      <c r="D10" s="850"/>
      <c r="E10" s="595">
        <f aca="true" t="shared" si="0" ref="E10:P10">SUM(E11:E11)</f>
        <v>110000</v>
      </c>
      <c r="F10" s="596">
        <f t="shared" si="0"/>
        <v>8003000</v>
      </c>
      <c r="G10" s="597">
        <f t="shared" si="0"/>
        <v>7789500</v>
      </c>
      <c r="H10" s="596">
        <f t="shared" si="0"/>
        <v>213500</v>
      </c>
      <c r="I10" s="596">
        <f t="shared" si="0"/>
        <v>0</v>
      </c>
      <c r="J10" s="596">
        <f t="shared" si="0"/>
        <v>0</v>
      </c>
      <c r="K10" s="598">
        <f t="shared" si="0"/>
        <v>213500</v>
      </c>
      <c r="L10" s="599">
        <f t="shared" si="0"/>
        <v>8003000</v>
      </c>
      <c r="M10" s="600">
        <f t="shared" si="0"/>
        <v>6809500</v>
      </c>
      <c r="N10" s="596">
        <f t="shared" si="0"/>
        <v>1193500</v>
      </c>
      <c r="O10" s="596">
        <f t="shared" si="0"/>
        <v>0</v>
      </c>
      <c r="P10" s="601">
        <f t="shared" si="0"/>
        <v>110000</v>
      </c>
    </row>
    <row r="11" spans="1:16" ht="12">
      <c r="A11" s="846"/>
      <c r="B11" s="848"/>
      <c r="C11" s="622">
        <v>900</v>
      </c>
      <c r="D11" s="602">
        <v>90002</v>
      </c>
      <c r="E11" s="603">
        <v>110000</v>
      </c>
      <c r="F11" s="604">
        <f>SUM(G11:H11)</f>
        <v>8003000</v>
      </c>
      <c r="G11" s="605">
        <v>7789500</v>
      </c>
      <c r="H11" s="606">
        <f>SUM(I11:K11)</f>
        <v>213500</v>
      </c>
      <c r="I11" s="606"/>
      <c r="J11" s="606"/>
      <c r="K11" s="607">
        <v>213500</v>
      </c>
      <c r="L11" s="608">
        <f>SUM(M11:O11)</f>
        <v>8003000</v>
      </c>
      <c r="M11" s="610">
        <v>6809500</v>
      </c>
      <c r="N11" s="609">
        <v>1193500</v>
      </c>
      <c r="O11" s="610"/>
      <c r="P11" s="611">
        <v>110000</v>
      </c>
    </row>
    <row r="12" spans="1:16" ht="12.75" thickBot="1">
      <c r="A12" s="626"/>
      <c r="B12" s="624"/>
      <c r="C12" s="627"/>
      <c r="D12" s="628"/>
      <c r="E12" s="615"/>
      <c r="F12" s="616"/>
      <c r="G12" s="617"/>
      <c r="H12" s="618"/>
      <c r="I12" s="618"/>
      <c r="J12" s="618"/>
      <c r="K12" s="630"/>
      <c r="L12" s="619"/>
      <c r="M12" s="620"/>
      <c r="N12" s="620"/>
      <c r="O12" s="620"/>
      <c r="P12" s="621"/>
    </row>
    <row r="13" spans="1:16" ht="21.75" customHeight="1" thickBot="1">
      <c r="A13" s="841" t="s">
        <v>282</v>
      </c>
      <c r="B13" s="842"/>
      <c r="C13" s="843"/>
      <c r="D13" s="844"/>
      <c r="E13" s="612">
        <f>SUM(E10)</f>
        <v>110000</v>
      </c>
      <c r="F13" s="613">
        <f aca="true" t="shared" si="1" ref="F13:O13">SUM(F10)</f>
        <v>8003000</v>
      </c>
      <c r="G13" s="613">
        <f t="shared" si="1"/>
        <v>7789500</v>
      </c>
      <c r="H13" s="613">
        <f t="shared" si="1"/>
        <v>213500</v>
      </c>
      <c r="I13" s="613">
        <f t="shared" si="1"/>
        <v>0</v>
      </c>
      <c r="J13" s="613">
        <f t="shared" si="1"/>
        <v>0</v>
      </c>
      <c r="K13" s="631">
        <f t="shared" si="1"/>
        <v>213500</v>
      </c>
      <c r="L13" s="612">
        <f t="shared" si="1"/>
        <v>8003000</v>
      </c>
      <c r="M13" s="613">
        <f t="shared" si="1"/>
        <v>6809500</v>
      </c>
      <c r="N13" s="613">
        <f t="shared" si="1"/>
        <v>1193500</v>
      </c>
      <c r="O13" s="613">
        <f t="shared" si="1"/>
        <v>0</v>
      </c>
      <c r="P13" s="614">
        <f>SUM(P10)</f>
        <v>110000</v>
      </c>
    </row>
    <row r="14" ht="12">
      <c r="O14" s="508"/>
    </row>
    <row r="15" ht="12">
      <c r="O15" s="508"/>
    </row>
    <row r="16" spans="6:15" ht="12">
      <c r="F16" s="508"/>
      <c r="O16" s="508"/>
    </row>
    <row r="17" spans="13:15" ht="12">
      <c r="M17" s="578"/>
      <c r="O17" s="508"/>
    </row>
    <row r="18" spans="6:15" ht="12">
      <c r="F18" s="508">
        <f>SUM(E13:F13)</f>
        <v>8113000</v>
      </c>
      <c r="L18" s="508">
        <f>SUM(L13+P13)</f>
        <v>8113000</v>
      </c>
      <c r="M18" s="508"/>
      <c r="O18" s="508"/>
    </row>
    <row r="19" ht="12">
      <c r="O19" s="508"/>
    </row>
    <row r="20" spans="13:15" ht="12">
      <c r="M20" s="508"/>
      <c r="O20" s="508"/>
    </row>
    <row r="21" spans="6:15" ht="12">
      <c r="F21" s="578"/>
      <c r="O21" s="508"/>
    </row>
    <row r="22" ht="12">
      <c r="O22" s="508"/>
    </row>
    <row r="23" ht="12">
      <c r="O23" s="508"/>
    </row>
    <row r="24" ht="12">
      <c r="O24" s="508"/>
    </row>
    <row r="25" ht="12">
      <c r="O25" s="508"/>
    </row>
    <row r="26" ht="12">
      <c r="O26" s="508"/>
    </row>
    <row r="27" ht="12">
      <c r="O27" s="508"/>
    </row>
    <row r="28" ht="12">
      <c r="O28" s="508"/>
    </row>
    <row r="29" ht="12">
      <c r="O29" s="508"/>
    </row>
    <row r="30" ht="12">
      <c r="O30" s="508"/>
    </row>
    <row r="31" ht="12">
      <c r="O31" s="508"/>
    </row>
    <row r="32" ht="12">
      <c r="O32" s="508"/>
    </row>
    <row r="33" ht="12">
      <c r="O33" s="508"/>
    </row>
    <row r="34" ht="12">
      <c r="O34" s="508"/>
    </row>
    <row r="35" ht="12">
      <c r="O35" s="508"/>
    </row>
    <row r="36" ht="12">
      <c r="O36" s="508"/>
    </row>
    <row r="37" ht="12">
      <c r="O37" s="508"/>
    </row>
    <row r="38" ht="12">
      <c r="O38" s="508"/>
    </row>
    <row r="39" ht="12">
      <c r="O39" s="508"/>
    </row>
    <row r="40" ht="12">
      <c r="O40" s="508"/>
    </row>
    <row r="41" ht="12">
      <c r="O41" s="508"/>
    </row>
    <row r="42" ht="12">
      <c r="O42" s="508"/>
    </row>
    <row r="43" ht="12">
      <c r="O43" s="508"/>
    </row>
    <row r="44" ht="12">
      <c r="O44" s="508"/>
    </row>
    <row r="45" ht="12">
      <c r="O45" s="508"/>
    </row>
    <row r="46" ht="12">
      <c r="O46" s="508"/>
    </row>
    <row r="47" ht="12">
      <c r="O47" s="508"/>
    </row>
    <row r="48" ht="12">
      <c r="O48" s="508"/>
    </row>
    <row r="49" ht="12">
      <c r="O49" s="508"/>
    </row>
    <row r="50" ht="12">
      <c r="O50" s="508"/>
    </row>
    <row r="51" ht="12">
      <c r="O51" s="508"/>
    </row>
    <row r="52" ht="12">
      <c r="O52" s="508"/>
    </row>
    <row r="53" ht="12">
      <c r="O53" s="508"/>
    </row>
    <row r="54" ht="12">
      <c r="O54" s="508"/>
    </row>
    <row r="55" ht="12">
      <c r="O55" s="508"/>
    </row>
    <row r="56" ht="12">
      <c r="O56" s="508"/>
    </row>
    <row r="57" ht="12">
      <c r="O57" s="508"/>
    </row>
    <row r="58" ht="12">
      <c r="O58" s="508"/>
    </row>
    <row r="59" ht="12">
      <c r="O59" s="508"/>
    </row>
    <row r="60" ht="12">
      <c r="O60" s="508"/>
    </row>
    <row r="61" ht="12">
      <c r="O61" s="508"/>
    </row>
    <row r="62" ht="12">
      <c r="O62" s="508"/>
    </row>
    <row r="63" ht="12">
      <c r="O63" s="508"/>
    </row>
    <row r="64" ht="12">
      <c r="O64" s="508"/>
    </row>
    <row r="65" ht="12">
      <c r="O65" s="508"/>
    </row>
    <row r="66" ht="12">
      <c r="O66" s="508"/>
    </row>
    <row r="67" ht="12">
      <c r="O67" s="508"/>
    </row>
    <row r="68" ht="12">
      <c r="O68" s="508"/>
    </row>
    <row r="69" ht="12">
      <c r="O69" s="508"/>
    </row>
    <row r="70" ht="12">
      <c r="O70" s="508"/>
    </row>
    <row r="71" ht="12">
      <c r="O71" s="508"/>
    </row>
    <row r="72" ht="12">
      <c r="O72" s="508"/>
    </row>
    <row r="73" ht="12">
      <c r="O73" s="508"/>
    </row>
    <row r="74" ht="12">
      <c r="O74" s="508"/>
    </row>
    <row r="75" ht="12">
      <c r="O75" s="508"/>
    </row>
    <row r="76" ht="12">
      <c r="O76" s="508"/>
    </row>
    <row r="77" ht="12">
      <c r="O77" s="508"/>
    </row>
    <row r="78" ht="12">
      <c r="O78" s="508"/>
    </row>
    <row r="79" ht="12">
      <c r="O79" s="508"/>
    </row>
    <row r="80" ht="12">
      <c r="O80" s="508"/>
    </row>
    <row r="81" ht="12">
      <c r="O81" s="508"/>
    </row>
    <row r="82" ht="12">
      <c r="O82" s="508"/>
    </row>
    <row r="83" ht="12">
      <c r="O83" s="508"/>
    </row>
    <row r="84" ht="12">
      <c r="O84" s="508"/>
    </row>
  </sheetData>
  <sheetProtection/>
  <mergeCells count="20">
    <mergeCell ref="O2:P2"/>
    <mergeCell ref="A4:P4"/>
    <mergeCell ref="A6:A8"/>
    <mergeCell ref="B6:B8"/>
    <mergeCell ref="C6:C8"/>
    <mergeCell ref="D6:D8"/>
    <mergeCell ref="E6:E8"/>
    <mergeCell ref="F6:F8"/>
    <mergeCell ref="G6:K6"/>
    <mergeCell ref="L6:L8"/>
    <mergeCell ref="A13:D13"/>
    <mergeCell ref="A10:A11"/>
    <mergeCell ref="B10:B11"/>
    <mergeCell ref="C10:D10"/>
    <mergeCell ref="M6:O6"/>
    <mergeCell ref="P6:P8"/>
    <mergeCell ref="G7:G8"/>
    <mergeCell ref="H7:H8"/>
    <mergeCell ref="I7:K7"/>
    <mergeCell ref="M7:M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H20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6.00390625" style="423" customWidth="1"/>
    <col min="2" max="2" width="35.7109375" style="423" customWidth="1"/>
    <col min="3" max="4" width="9.421875" style="423" bestFit="1" customWidth="1"/>
    <col min="5" max="5" width="17.7109375" style="423" customWidth="1"/>
    <col min="6" max="6" width="18.00390625" style="423" customWidth="1"/>
    <col min="7" max="7" width="16.8515625" style="423" customWidth="1"/>
    <col min="8" max="8" width="21.57421875" style="423" bestFit="1" customWidth="1"/>
    <col min="9" max="16384" width="9.00390625" style="423" customWidth="1"/>
  </cols>
  <sheetData>
    <row r="1" ht="48" customHeight="1">
      <c r="H1" s="346" t="s">
        <v>363</v>
      </c>
    </row>
    <row r="2" spans="1:8" ht="30.75" customHeight="1">
      <c r="A2" s="879" t="s">
        <v>229</v>
      </c>
      <c r="B2" s="879"/>
      <c r="C2" s="879"/>
      <c r="D2" s="879"/>
      <c r="E2" s="879"/>
      <c r="F2" s="879"/>
      <c r="G2" s="879"/>
      <c r="H2" s="879"/>
    </row>
    <row r="3" spans="1:8" ht="14.25" customHeight="1" thickBot="1">
      <c r="A3" s="424"/>
      <c r="H3" s="425" t="s">
        <v>6</v>
      </c>
    </row>
    <row r="4" spans="1:8" ht="24" customHeight="1">
      <c r="A4" s="869" t="s">
        <v>7</v>
      </c>
      <c r="B4" s="871" t="s">
        <v>235</v>
      </c>
      <c r="C4" s="871" t="s">
        <v>0</v>
      </c>
      <c r="D4" s="851" t="s">
        <v>1</v>
      </c>
      <c r="E4" s="871" t="s">
        <v>233</v>
      </c>
      <c r="F4" s="871"/>
      <c r="G4" s="871" t="s">
        <v>239</v>
      </c>
      <c r="H4" s="854"/>
    </row>
    <row r="5" spans="1:8" ht="12.75" customHeight="1">
      <c r="A5" s="870"/>
      <c r="B5" s="872"/>
      <c r="C5" s="872"/>
      <c r="D5" s="860"/>
      <c r="E5" s="426" t="s">
        <v>3</v>
      </c>
      <c r="F5" s="499" t="s">
        <v>4</v>
      </c>
      <c r="G5" s="426" t="s">
        <v>3</v>
      </c>
      <c r="H5" s="427" t="s">
        <v>4</v>
      </c>
    </row>
    <row r="6" spans="1:8" ht="12.75" customHeight="1" thickBot="1">
      <c r="A6" s="428">
        <v>1</v>
      </c>
      <c r="B6" s="429">
        <v>2</v>
      </c>
      <c r="C6" s="429">
        <v>3</v>
      </c>
      <c r="D6" s="430">
        <v>4</v>
      </c>
      <c r="E6" s="429">
        <v>5</v>
      </c>
      <c r="F6" s="429">
        <v>6</v>
      </c>
      <c r="G6" s="429">
        <v>7</v>
      </c>
      <c r="H6" s="431">
        <v>8</v>
      </c>
    </row>
    <row r="7" spans="1:8" ht="12.75" customHeight="1">
      <c r="A7" s="432"/>
      <c r="B7" s="433"/>
      <c r="C7" s="434"/>
      <c r="D7" s="435"/>
      <c r="E7" s="433"/>
      <c r="F7" s="433"/>
      <c r="G7" s="433"/>
      <c r="H7" s="436"/>
    </row>
    <row r="8" spans="1:8" ht="24">
      <c r="A8" s="880" t="s">
        <v>8</v>
      </c>
      <c r="B8" s="437" t="s">
        <v>211</v>
      </c>
      <c r="C8" s="877" t="s">
        <v>212</v>
      </c>
      <c r="D8" s="878"/>
      <c r="E8" s="438">
        <f>SUM(E9)</f>
        <v>0</v>
      </c>
      <c r="F8" s="438">
        <f>SUM(F9)</f>
        <v>0</v>
      </c>
      <c r="G8" s="438">
        <f>SUM(G9)</f>
        <v>1450000</v>
      </c>
      <c r="H8" s="439">
        <f>SUM(H9)</f>
        <v>0</v>
      </c>
    </row>
    <row r="9" spans="1:8" s="445" customFormat="1" ht="13.5" customHeight="1">
      <c r="A9" s="881"/>
      <c r="B9" s="440"/>
      <c r="C9" s="441">
        <v>700</v>
      </c>
      <c r="D9" s="442">
        <v>70001</v>
      </c>
      <c r="E9" s="443">
        <v>0</v>
      </c>
      <c r="F9" s="443">
        <v>0</v>
      </c>
      <c r="G9" s="443">
        <v>1450000</v>
      </c>
      <c r="H9" s="444">
        <v>0</v>
      </c>
    </row>
    <row r="10" spans="1:8" ht="12.75" customHeight="1">
      <c r="A10" s="500"/>
      <c r="B10" s="501"/>
      <c r="C10" s="502"/>
      <c r="D10" s="503"/>
      <c r="E10" s="504"/>
      <c r="F10" s="504"/>
      <c r="G10" s="504"/>
      <c r="H10" s="505"/>
    </row>
    <row r="11" spans="1:8" ht="13.5" customHeight="1">
      <c r="A11" s="506" t="s">
        <v>9</v>
      </c>
      <c r="B11" s="507" t="s">
        <v>284</v>
      </c>
      <c r="C11" s="877" t="s">
        <v>212</v>
      </c>
      <c r="D11" s="878"/>
      <c r="E11" s="438">
        <f>SUM(E12)</f>
        <v>7000</v>
      </c>
      <c r="F11" s="438">
        <f>SUM(F12)</f>
        <v>0</v>
      </c>
      <c r="G11" s="438">
        <f>SUM(G12)</f>
        <v>0</v>
      </c>
      <c r="H11" s="439">
        <f>SUM(H12)</f>
        <v>0</v>
      </c>
    </row>
    <row r="12" spans="1:8" s="445" customFormat="1" ht="12">
      <c r="A12" s="498"/>
      <c r="B12" s="440"/>
      <c r="C12" s="441">
        <v>801</v>
      </c>
      <c r="D12" s="442">
        <v>80103</v>
      </c>
      <c r="E12" s="443">
        <v>7000</v>
      </c>
      <c r="F12" s="443">
        <v>0</v>
      </c>
      <c r="G12" s="443">
        <v>0</v>
      </c>
      <c r="H12" s="444">
        <v>0</v>
      </c>
    </row>
    <row r="13" spans="1:8" ht="12.75" customHeight="1">
      <c r="A13" s="500"/>
      <c r="B13" s="501"/>
      <c r="C13" s="502"/>
      <c r="D13" s="503"/>
      <c r="E13" s="504"/>
      <c r="F13" s="504"/>
      <c r="G13" s="504"/>
      <c r="H13" s="505"/>
    </row>
    <row r="14" spans="1:8" ht="13.5" customHeight="1">
      <c r="A14" s="506" t="s">
        <v>10</v>
      </c>
      <c r="B14" s="507" t="s">
        <v>234</v>
      </c>
      <c r="C14" s="877" t="s">
        <v>212</v>
      </c>
      <c r="D14" s="878"/>
      <c r="E14" s="438">
        <f>SUM(E15)</f>
        <v>20000</v>
      </c>
      <c r="F14" s="438">
        <f>SUM(F15)</f>
        <v>0</v>
      </c>
      <c r="G14" s="438">
        <f>SUM(G15)</f>
        <v>0</v>
      </c>
      <c r="H14" s="439">
        <f>SUM(H15)</f>
        <v>0</v>
      </c>
    </row>
    <row r="15" spans="1:8" s="445" customFormat="1" ht="13.5" customHeight="1" thickBot="1">
      <c r="A15" s="498"/>
      <c r="B15" s="440"/>
      <c r="C15" s="441">
        <v>854</v>
      </c>
      <c r="D15" s="442">
        <v>85415</v>
      </c>
      <c r="E15" s="443">
        <v>20000</v>
      </c>
      <c r="F15" s="443">
        <v>0</v>
      </c>
      <c r="G15" s="443">
        <v>0</v>
      </c>
      <c r="H15" s="444">
        <v>0</v>
      </c>
    </row>
    <row r="16" spans="1:8" ht="32.25" customHeight="1" thickBot="1">
      <c r="A16" s="875" t="s">
        <v>5</v>
      </c>
      <c r="B16" s="876"/>
      <c r="C16" s="876"/>
      <c r="D16" s="876"/>
      <c r="E16" s="446">
        <f>SUM(E8+E11+E14)</f>
        <v>27000</v>
      </c>
      <c r="F16" s="446">
        <f>SUM(F8+F11+F14)</f>
        <v>0</v>
      </c>
      <c r="G16" s="446">
        <f>SUM(G8+G11+G14)</f>
        <v>1450000</v>
      </c>
      <c r="H16" s="447">
        <f>SUM(H8+H11+H14)</f>
        <v>0</v>
      </c>
    </row>
    <row r="18" ht="12">
      <c r="H18" s="508"/>
    </row>
    <row r="20" ht="12">
      <c r="F20" s="508"/>
    </row>
  </sheetData>
  <sheetProtection/>
  <mergeCells count="12">
    <mergeCell ref="A2:H2"/>
    <mergeCell ref="A8:A9"/>
    <mergeCell ref="C8:D8"/>
    <mergeCell ref="C11:D11"/>
    <mergeCell ref="E4:F4"/>
    <mergeCell ref="G4:H4"/>
    <mergeCell ref="A16:D16"/>
    <mergeCell ref="A4:A5"/>
    <mergeCell ref="B4:B5"/>
    <mergeCell ref="C4:C5"/>
    <mergeCell ref="D4:D5"/>
    <mergeCell ref="C14:D1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2009-11-24T13:01:54Z</cp:lastPrinted>
  <dcterms:created xsi:type="dcterms:W3CDTF">2004-09-09T06:31:16Z</dcterms:created>
  <dcterms:modified xsi:type="dcterms:W3CDTF">2009-11-30T06:45:59Z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