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 - dochody " sheetId="1" r:id="rId1"/>
    <sheet name="1-dochody układzie rodzajowym" sheetId="2" r:id="rId2"/>
    <sheet name="2 - wydatki" sheetId="3" r:id="rId3"/>
    <sheet name="3-przychody, rozchody" sheetId="4" r:id="rId4"/>
    <sheet name="4 - jedn.pomoc." sheetId="5" r:id="rId5"/>
    <sheet name="5-plan doch. własnych" sheetId="6" r:id="rId6"/>
    <sheet name="6-dotacje dla zakł. budż. " sheetId="7" r:id="rId7"/>
    <sheet name="7- dotacje celowe- programy" sheetId="8" r:id="rId8"/>
    <sheet name="8-dotacje poz." sheetId="9" r:id="rId9"/>
    <sheet name="9-dot. celowe na zad. poroz." sheetId="10" r:id="rId10"/>
    <sheet name="10-dotacje na pomoc finansową" sheetId="11" r:id="rId11"/>
    <sheet name="11-Fundusze pomocowe" sheetId="12" r:id="rId12"/>
    <sheet name="12- GFOŚiGW" sheetId="13" r:id="rId13"/>
    <sheet name="13-Wykaz wieloletni" sheetId="14" r:id="rId14"/>
  </sheets>
  <definedNames>
    <definedName name="_xlnm.Print_Area" localSheetId="0">'1 - dochody '!$A$1:$G$333</definedName>
    <definedName name="_xlnm.Print_Area" localSheetId="10">'10-dotacje na pomoc finansową'!$A$1:$H$17</definedName>
    <definedName name="_xlnm.Print_Area" localSheetId="11">'11-Fundusze pomocowe'!$A$1:$N$111</definedName>
    <definedName name="_xlnm.Print_Area" localSheetId="12">'12- GFOŚiGW'!$A$1:$C$56</definedName>
    <definedName name="_xlnm.Print_Area" localSheetId="13">'13-Wykaz wieloletni'!$A$1:$P$164</definedName>
    <definedName name="_xlnm.Print_Area" localSheetId="1">'1-dochody układzie rodzajowym'!$A$1:$B$63</definedName>
    <definedName name="_xlnm.Print_Area" localSheetId="2">'2 - wydatki'!$A$1:$J$298</definedName>
    <definedName name="_xlnm.Print_Area" localSheetId="3">'3-przychody, rozchody'!$A$1:$D$15</definedName>
    <definedName name="_xlnm.Print_Area" localSheetId="4">'4 - jedn.pomoc.'!$A$1:$F$37</definedName>
    <definedName name="_xlnm.Print_Area" localSheetId="5">'5-plan doch. własnych'!$A$1:$J$13</definedName>
    <definedName name="_xlnm.Print_Area" localSheetId="6">'6-dotacje dla zakł. budż. '!$A$1:$P$122</definedName>
    <definedName name="_xlnm.Print_Area" localSheetId="7">'7- dotacje celowe- programy'!$A$1:$E$47</definedName>
    <definedName name="_xlnm.Print_Area" localSheetId="8">'8-dotacje poz.'!$A$1:$I$33</definedName>
    <definedName name="_xlnm.Print_Area" localSheetId="9">'9-dot. celowe na zad. poroz.'!$A$1:$G$13</definedName>
  </definedNames>
  <calcPr fullCalcOnLoad="1" fullPrecision="0"/>
</workbook>
</file>

<file path=xl/sharedStrings.xml><?xml version="1.0" encoding="utf-8"?>
<sst xmlns="http://schemas.openxmlformats.org/spreadsheetml/2006/main" count="1488" uniqueCount="667">
  <si>
    <t>Szkoła Podstawowa nr 2 w Policach</t>
  </si>
  <si>
    <t>Szkoła Podstawowa nr 3 w Policach</t>
  </si>
  <si>
    <t>`</t>
  </si>
  <si>
    <t>Szkoła Podstawowa nr 8 w Policach</t>
  </si>
  <si>
    <t>Szkoła Podstawowa w Tanowie</t>
  </si>
  <si>
    <t>Ochrona powietrza atmosferycznego i klimatu</t>
  </si>
  <si>
    <t>Opieka nad zwierzętami</t>
  </si>
  <si>
    <t>Melioracje</t>
  </si>
  <si>
    <t>Wpływy z różnych opłat (za pobór wód)</t>
  </si>
  <si>
    <t>Rozbudowa i modernizacja instalacji Zakładu Odzysku i Składowania Odpadów Komunalnych w Leśnie Górnym</t>
  </si>
  <si>
    <t>Termomodernizacja obiektów użyteczności publicznej</t>
  </si>
  <si>
    <t>Odsetki od środków na rachunkach bankowych</t>
  </si>
  <si>
    <t>Wpływy z różnych opłat (za zrzut ścieków)</t>
  </si>
  <si>
    <t>Wpływy z różnych opłat (za składowanie odpadów)</t>
  </si>
  <si>
    <t>środki budżetowe</t>
  </si>
  <si>
    <t>Wpływy z różnych opłat (za emisję)</t>
  </si>
  <si>
    <t>Wpływy z różnych opłat (pozostałe wpływy)</t>
  </si>
  <si>
    <t>Dział 900                             Rozdział 90011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</si>
  <si>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</si>
  <si>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</si>
  <si>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</si>
  <si>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</si>
  <si>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</si>
  <si>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</si>
  <si>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 xml:space="preserve"> - prowadzenie Środowiskowego Domu Samopomocy</t>
  </si>
  <si>
    <t>Część oświatowa subwencji ogólnej dla jednostek samorządu terytorialnego</t>
  </si>
  <si>
    <t>Część równoważąca subwencji ogólnej dla gmin</t>
  </si>
  <si>
    <t>Zasiłki i pomoc w naturze oraz składki na ubezpieczenia emerytalne i rentowe</t>
  </si>
  <si>
    <t>Zakład Odzysku i Składowania Odpadów Komunalnych w Leśnie Górnym</t>
  </si>
  <si>
    <t>Gimnazjum nr 1 w Policach</t>
  </si>
  <si>
    <t>Gimnazjum nr 3 w Policach</t>
  </si>
  <si>
    <t>Żłobek Miejski</t>
  </si>
  <si>
    <t>RAZEM ZAKŁADY BUDŻETOWE</t>
  </si>
  <si>
    <t>Przedszkole Publiczne nr 11 w Policach</t>
  </si>
  <si>
    <t>własne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</si>
  <si>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</si>
  <si>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</si>
  <si>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</si>
  <si>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</si>
  <si>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</si>
  <si>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</si>
  <si>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</si>
  <si>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</si>
  <si>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</si>
  <si>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</si>
  <si>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</si>
  <si>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</si>
  <si>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</si>
  <si>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</si>
  <si>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</si>
  <si>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</si>
  <si>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</si>
  <si>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</si>
  <si>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Okres realizacji</t>
  </si>
  <si>
    <t>Gimnazja zbiorczo, w tym:</t>
  </si>
  <si>
    <t>Przedszkola zbiorczo, w tym:</t>
  </si>
  <si>
    <t>podmiotowa z budżetu na wydatki bieżące</t>
  </si>
  <si>
    <t>Środki finansowe pozostałe z 2008 r.</t>
  </si>
  <si>
    <t>Załącznik nr 1 
do uchwały Nr XXXV/264/08 
Rady Miejskiej w Policach 
z dnia 30.12.2008 r.</t>
  </si>
  <si>
    <t>Załącznik nr 2 
do uchwały Nr XXXV/264/08 
Rady Miejskiej w Policach 
z dnia 30.12.2008 r.</t>
  </si>
  <si>
    <t>Załącznik nr 3 
do uchwały Nr XXXV/264/08 
Rady Miejskiej w Policach 
z dnia 30.12.2008 r.</t>
  </si>
  <si>
    <t>Załącznik nr 4 
do uchwały Nr XXXV/264/08 
Rady Miejskiej w Policach 
z dnia 30.12.2008 r.</t>
  </si>
  <si>
    <t>do uchwały Nr XXXV/264/08 
Rady Miejskiej w Policach 
z dnia 30.12.2008 r.</t>
  </si>
  <si>
    <t>Załącznik nr 7 
do uchwały Nr XXXV/264/08 
Rady Miejskiej w Policach 
z dnia 30.12.2008 r.</t>
  </si>
  <si>
    <t>Załącznik nr 11
do uchwały Nr XXXV/264/08 
Rady Miejskiej w Policach 
z dnia 30.12.2008 r.</t>
  </si>
  <si>
    <t>Załącznik nr 12
do uchwały Nr XXXV/264/08 
Rady Miejskiej w Policach 
z dnia 30.12.2008 r.</t>
  </si>
  <si>
    <t>Załącznik nr 13
do uchwały Nr XXXV/264/08 
Rady Miejskiej w Policach 
z dnia 30.12.2008 r.</t>
  </si>
  <si>
    <t xml:space="preserve">          Załącznik nr 10 
          do uchwały Nr XXXV/264/08 
          Rady Miejskiej w Policach 
          z dnia 30.12.2008 r.</t>
  </si>
  <si>
    <t xml:space="preserve">          Załącznik nr 9 
          do uchwały Nr XXXV/264/08 
          Rady Miejskiej w Policach 
          z dnia 30.12.2008 r.</t>
  </si>
  <si>
    <t xml:space="preserve">          Załącznik nr 8 
          do uchwały Nr XXXV/264/08 
          Rady Miejskiej w Policach 
          z dnia 30.12.2008 r.</t>
  </si>
  <si>
    <t xml:space="preserve">                              Załącznik nr 5 
                              do uchwały Nr XXXV/264/08 
                              Rady Miejskiej w Policach 
                              z dnia 30.12.2008 r.</t>
  </si>
  <si>
    <t>Łączna         wartość          inwestycji</t>
  </si>
  <si>
    <t>DOSTARCZENIE I POPRAWA JAKOŚCI WODY</t>
  </si>
  <si>
    <t>Przebudowa i rozbudowa sieci wodociągowej w Pilchowie</t>
  </si>
  <si>
    <t>Budowa ścieżek rowerowych</t>
  </si>
  <si>
    <t>Budowa infrastruktury w Trzebieży w ramach Zachodniopomorskiego Szlaku Żeglarskiego</t>
  </si>
  <si>
    <t>Przebudowa Parku "Staromiejskiego" w Policach</t>
  </si>
  <si>
    <t>Przebudowa świetlicy wiejskiej w Uniemyślu</t>
  </si>
  <si>
    <t>NAKŁADY  OGÓŁEM, W TYM:</t>
  </si>
  <si>
    <t>Wydz. OŚ</t>
  </si>
  <si>
    <t>Informacje  dodatkowe</t>
  </si>
  <si>
    <t>Prognozowane nakłady w latach następnych</t>
  </si>
  <si>
    <t>ROZBUDOWA BAZY TURYSTYCZNEJ</t>
  </si>
  <si>
    <t>Budowa sieci kanalizacji sanitarnej i deszczowej oraz sieci wodociągowej w ul. Polnej w Trzebieży</t>
  </si>
  <si>
    <t>nakłady ogółem, w tym:</t>
  </si>
  <si>
    <t>OCHRONA ŚRODOWISKA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</si>
  <si>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</si>
  <si>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</si>
  <si>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 xml:space="preserve"> - organizacja wypoczynku dzieci i młodzieży szkolnej</t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</si>
  <si>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</si>
  <si>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</si>
  <si>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</si>
  <si>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</si>
  <si>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</si>
  <si>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BUDOWA OŚWIETLENIA ULICZNEGO</t>
  </si>
  <si>
    <t>Oświetlenie w miejscowości Węgornik</t>
  </si>
  <si>
    <t>Oświetlenie drogi pomiędzy Drogoradzem a Uniemyślem</t>
  </si>
  <si>
    <t>Zespół Szkół nr 2 w Policach</t>
  </si>
  <si>
    <t xml:space="preserve">Szkoła Podstawowa nr 6 </t>
  </si>
  <si>
    <t>Zespół Szkół w Trzebieży</t>
  </si>
  <si>
    <t xml:space="preserve">Szkoła Podstawowa </t>
  </si>
  <si>
    <t>Zespół Szkół nr 1 w Policach</t>
  </si>
  <si>
    <t>Gimnazjum nr 2</t>
  </si>
  <si>
    <t xml:space="preserve">Gimnazjum nr 4 </t>
  </si>
  <si>
    <t>Zespół Szkół  w Trzebieży</t>
  </si>
  <si>
    <t xml:space="preserve">Gimnazjum </t>
  </si>
  <si>
    <t>Budowa świetlicy wiejskiej w Uniemyślu</t>
  </si>
  <si>
    <t xml:space="preserve"> INTERREG IV</t>
  </si>
  <si>
    <t>Program Rozwoju Obszarów Wiejskich</t>
  </si>
  <si>
    <t>Nazwa programu</t>
  </si>
  <si>
    <t>Nazwa projektu</t>
  </si>
  <si>
    <t>Źródła finansowania</t>
  </si>
  <si>
    <t>Wybory do Parlamentu Europejskiego</t>
  </si>
  <si>
    <r>
      <t>Pozostała działalnoś</t>
    </r>
    <r>
      <rPr>
        <sz val="9"/>
        <rFont val="Arial"/>
        <family val="2"/>
      </rPr>
      <t>ć</t>
    </r>
  </si>
  <si>
    <t>podmiotowe na wydatki bieżące</t>
  </si>
  <si>
    <t>celowe</t>
  </si>
  <si>
    <t xml:space="preserve">Świadczenia rodzinne, świadczenie z funduszu alimentacyjnego oraz składki </t>
  </si>
  <si>
    <t>Świadczenia rodzinne, świadczenie z funduszu alimentacyjnego</t>
  </si>
  <si>
    <t>4. WYDATKI BUDŻETU GMINY W 2009 ROKU  związane z realizacją zadań wykonywanych na podstawie porozumień (umów) 
między jednostkami samorządu terytorialnego</t>
  </si>
  <si>
    <t>Nazwa podmiotu</t>
  </si>
  <si>
    <t>Miejski Ośrodek Kultury w Policach</t>
  </si>
  <si>
    <t>Biblioteka im. M. Skłodowskiej-Curie</t>
  </si>
  <si>
    <t>w Policach</t>
  </si>
  <si>
    <t xml:space="preserve">z tytułu uczęszczania dzieci z Gminy Police </t>
  </si>
  <si>
    <t>do przedszkoli niepublicznych w Szczecinie</t>
  </si>
  <si>
    <t>do Przedszkola Specjalnego nr 21 w Szczecinie</t>
  </si>
  <si>
    <t>na działania profilaktyczne dla osób</t>
  </si>
  <si>
    <t>zagrożonych uzależnieniem od alkoholu</t>
  </si>
  <si>
    <t xml:space="preserve">Gmina Miasto Szczecin - dotacja </t>
  </si>
  <si>
    <t>Zakres zadania</t>
  </si>
  <si>
    <t>ZAKŁADY</t>
  </si>
  <si>
    <t>POZOSTAŁE</t>
  </si>
  <si>
    <t>PROGRAMY</t>
  </si>
  <si>
    <t>POWIAT</t>
  </si>
  <si>
    <t>DOTACJE</t>
  </si>
  <si>
    <t>Planowane wydatki w latach w ramach projektu</t>
  </si>
  <si>
    <t>środki pomocowe</t>
  </si>
  <si>
    <t>inne środki</t>
  </si>
  <si>
    <t>OGÓŁEM:</t>
  </si>
  <si>
    <t>Wydział TI</t>
  </si>
  <si>
    <t>Wydział GKM</t>
  </si>
  <si>
    <t>Koszty kwalifikowane 
w ramach projektu</t>
  </si>
  <si>
    <t xml:space="preserve"> - 311.000 z oświetlenia</t>
  </si>
  <si>
    <t>Budowa systemu informacji przestrzennej GIS</t>
  </si>
  <si>
    <t>Wydział UA</t>
  </si>
  <si>
    <t>Program Operacyjny Kapitał Ludzki</t>
  </si>
  <si>
    <t>"Skrzydła dla najmłodszych - wyrównywanie szans w dostępie do edukacji przedszkolnej w Policach" 
nr projektu POKL/1/9.1.1/12/08</t>
  </si>
  <si>
    <t>Wydział PI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</si>
  <si>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</si>
  <si>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</si>
  <si>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</si>
  <si>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</si>
  <si>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"Łatwiejszy dostęp do edukacji poprzez kurs języka niemieckiego w Tanowie" 
nr projektu POKL/1/9.5/94-2/07</t>
  </si>
  <si>
    <t>"Nauka języka angielskiego szansą podnoszenia poziomu wykształcenia i kwalifikacji" 
nr projektu POKL/1/9.5/95-2/07</t>
  </si>
  <si>
    <t>Przychody z zaciągniętych pożyczek i kredytów na rynku krajowym</t>
  </si>
  <si>
    <t>Spłaty otrzymanych krajowych pożyczek i kredytów</t>
  </si>
  <si>
    <t>"Edukacja i kultura w Pilchowie - teatr i literatura bez tajemnic" 
nr projektu POKL/1/9.5/96-1/07</t>
  </si>
  <si>
    <t>"Łatwiejszy dostęp do edukacji poprzez  kurs języka niemieckiego w Trzebieży" 
nr projektu POKL/1/9.5/97-2/07</t>
  </si>
  <si>
    <t>"Język angielski szansą zdobycia lepszego wykształcenia w Drogoradzu" 
nr projektu POKL/1/9.5/98-2/07</t>
  </si>
  <si>
    <t>"Dostęp do edukacji na wsi - dziennikarstwo, literatura i język polski" 
nr projektu POKL/1/9.5/99-1/07</t>
  </si>
  <si>
    <t>"Język angielski szansą lepszego wykształcenia w Przęsocinie" 
nr projektu POKL/1/9.5/100-2/07</t>
  </si>
  <si>
    <t>"Język angielski - lepsze wykształcenie, lepsze kwalifikacje, lepsza przyszłość" 
nr projektu POKL/1/9.5/101-2/07</t>
  </si>
  <si>
    <t>przedmiotowa z budżetu na wydatki bieżące</t>
  </si>
  <si>
    <t>2030</t>
  </si>
  <si>
    <t>POMOC SPOŁECZNA</t>
  </si>
  <si>
    <t>POLITYKI SPOŁECZNEJ</t>
  </si>
  <si>
    <t>POZOSTAŁE ZADANIA W ZAKRESIE</t>
  </si>
  <si>
    <t>ORAZ WYDATKI ZWIĄZANE Z ICH POBOREM</t>
  </si>
  <si>
    <t>NIEPOSIADAJĄCYCH OSOBOWOŚCI PRAWNEJ</t>
  </si>
  <si>
    <t>Usługi opiekuńcze i specjalistyczne usługi opiekuńcze</t>
  </si>
  <si>
    <t xml:space="preserve">DOCHODY OD OSÓB PRAWNYCH, </t>
  </si>
  <si>
    <t>OD OSÓB FIZYCZNYCH I OD INNYCH JEDNOSTEK</t>
  </si>
  <si>
    <t xml:space="preserve"> I OCHRONA ŚRODOWISKA</t>
  </si>
  <si>
    <t>opiekuńcze</t>
  </si>
  <si>
    <t>Usługi opiekuńcze i specjalistyczne usługi</t>
  </si>
  <si>
    <t>Wpływy z podatku dochodowego od osób fizycznych</t>
  </si>
  <si>
    <t xml:space="preserve">         - w podatku doch. od osób fizycznych</t>
  </si>
  <si>
    <t>Ośrodki wsparcia</t>
  </si>
  <si>
    <t>Przychody</t>
  </si>
  <si>
    <t xml:space="preserve">Pobór podatków, opłat i niepodatkowych </t>
  </si>
  <si>
    <t>należności budżetowych</t>
  </si>
  <si>
    <t>Zakresy zadań</t>
  </si>
  <si>
    <t>na wydatki bieżące</t>
  </si>
  <si>
    <t>na wydatki inwestycyjne</t>
  </si>
  <si>
    <t>Zadania w zakresie edukacyjnej opieki wychowawczej</t>
  </si>
  <si>
    <t xml:space="preserve"> - prowadzenie środowiskowych ognisk wychowawczych</t>
  </si>
  <si>
    <t>0460</t>
  </si>
  <si>
    <t>2680</t>
  </si>
  <si>
    <t>Utrzymanie zieleni w miastach i gminach</t>
  </si>
  <si>
    <t>STAN FUNDUSZU NA KONIEC ROKU</t>
  </si>
  <si>
    <t>Dochody z najmu i dzierżawy składników majątkowych Skarbu Państwa, jednostek samorządu terytorialnego lub innych jednostek zaliczanych do sektora finansów publicznych oraz innych umów o podobnym charakterze.</t>
  </si>
  <si>
    <t>Dochody</t>
  </si>
  <si>
    <t xml:space="preserve">        - dotacje, z tego:</t>
  </si>
  <si>
    <t xml:space="preserve">        - środki, z tego:</t>
  </si>
  <si>
    <t xml:space="preserve">   Dochody ogółem:</t>
  </si>
  <si>
    <t>Klasyfikacja
§</t>
  </si>
  <si>
    <t>Przychody ogółem:</t>
  </si>
  <si>
    <t>§ 952</t>
  </si>
  <si>
    <t>Rozchody ogółem:</t>
  </si>
  <si>
    <t>§ 992</t>
  </si>
  <si>
    <t>Stan środków pieniężnych 
na początek roku</t>
  </si>
  <si>
    <t>WYDATKI NA PROGRAMY I PROJEKTY 
REALIZOWANE ZE ŚRODKÓW, O KTÓRYCH MOWA W ART. 5 UST. 1 PKT 2 I 3 USTAWY O FINANSACH PUBLICZNYCH, W CZĘŚCI ZWIĄZANEJ Z REALIZACJĄ ZADAŃ GMINY</t>
  </si>
  <si>
    <t>Stan środków pieniężnych 
na koniec roku</t>
  </si>
  <si>
    <t>Nazwa zadania</t>
  </si>
  <si>
    <t>Załącznik nr 6</t>
  </si>
  <si>
    <t xml:space="preserve">1. PROGNOZOWANE DOCHODY BUDŻETU GMINY POLICE W 2009 ROKU  </t>
  </si>
  <si>
    <t>1. WYDATKI BUDŻETU GMINY W 2009 ROKU</t>
  </si>
  <si>
    <t>2. WYDATKI BUDŻETU GMINY W 2009 ROKU związane z realizacją zadań własnych</t>
  </si>
  <si>
    <t>3. WYDATKI BUDŻETU GMINY W 2009 ROKU  związane z realizacją zadań z zakresu administracji rządowej oraz innych zadań zleconych ustawami.</t>
  </si>
  <si>
    <t>Stołówki szkolne</t>
  </si>
  <si>
    <t>pobierające niektóre świadczenia z pomocy społecznej,</t>
  </si>
  <si>
    <t>niektóre świadczenia rodzinne oraz za osoby</t>
  </si>
  <si>
    <t>uczestniczące w zajęciach w centrum integracji społecznej</t>
  </si>
  <si>
    <t>PRZYCHODY I ROZCHODY BUDŻETU GMINY W 2009 ROKU</t>
  </si>
  <si>
    <t>WYDATKI JEDNOSTEK POMOCNICZYCH W 2009 ROKU</t>
  </si>
  <si>
    <t>PLAN DOCHODÓW I WYDATKÓW RACHUNKÓW DOCHODÓW WŁASNYCH JEDNOSTEK BUDŻETOWYCH GMINY W 2009 ROKU</t>
  </si>
  <si>
    <t>PLAN PRZYCHODÓW I WYDATKÓW ORAZ PLANOWANE DOTACJE DLA ZAKŁADÓW BUDŻETOWYCH W 2009 ROKU</t>
  </si>
  <si>
    <t>DOTACJE CELOWE NA ZADANIA WŁASNE GMINY
REALIZOWANE PRZEZ PODMIOTY NIENALEŻĄCE DO SEKTORA FINANSÓW PUBLICZNYCH
W 2009 ROKU</t>
  </si>
  <si>
    <t>POZOSTAŁE DOTACJE NA ZADANIA PUBLICZNE W 2009 ROKU</t>
  </si>
  <si>
    <t>PLAN PRZYCHODÓW I WYDATKÓW 
GMINNEGO FUNDUSZU OCHRONY ŚRODOWISKA I GOSPODARKI WODNEJ 
NA 2009 ROK</t>
  </si>
  <si>
    <t>"Różne języki, jedna tradycja"</t>
  </si>
  <si>
    <t>ubezpieczenia emerytalne i rentowe</t>
  </si>
  <si>
    <t>Ochrona zabytków i opieka nad zabytkami</t>
  </si>
  <si>
    <t>Komendy powiatowe Policji</t>
  </si>
  <si>
    <t>Dostarczanie paliw gazowych</t>
  </si>
  <si>
    <t>Zadania w zakresie kultury i ochrony</t>
  </si>
  <si>
    <t>dziedzictwa narodowego</t>
  </si>
  <si>
    <t>wydatki na obsługę długu</t>
  </si>
  <si>
    <t>wydatki z tytułu poręczeń i gwarancji</t>
  </si>
  <si>
    <t>wydatki majątkowe</t>
  </si>
  <si>
    <t>wydatki bieżące</t>
  </si>
  <si>
    <t>Wpływy z podatku rolnego, podatku leśnego, podatku od czynności</t>
  </si>
  <si>
    <t>cywilnoprawnych, podatków i opłat lokalnych od osób prawnych</t>
  </si>
  <si>
    <t>5. WYDATKI BUDŻETU GMINY W 2009 ROKU  na pomoc finansową innym jednostkom samorządu terytorialnego</t>
  </si>
  <si>
    <t>DOTACJE CELOWE NA POMOC FINANSOWĄ 
INNYM JEDNOSTKOM SAMORZĄDU TERYTORIALNEGO W 2009 ROKU</t>
  </si>
  <si>
    <t>Zintegrowany projekt zakupu autobusów 
dla SPPK Sp. z o.o.</t>
  </si>
  <si>
    <t>Gmina Miasto Szczecin</t>
  </si>
  <si>
    <t>Województwo Zachodniopomorskie</t>
  </si>
  <si>
    <t>Jednostka 
samorządu terytorialnego</t>
  </si>
  <si>
    <t>Środki na dofinansowanie własnych zadań bieżących gmin (związków gmin), powiatów (związków powiatów), samorządów województw, pozyskane z innych źródeł</t>
  </si>
  <si>
    <t>Urzędy gmin (miast i miast na prawach powiatu)</t>
  </si>
  <si>
    <t>podatku od czynności cywilnoprawnych oraz podatków i opłat lokalnych</t>
  </si>
  <si>
    <t>od osób fizycznych</t>
  </si>
  <si>
    <t>z ubezpieczenia społecznego</t>
  </si>
  <si>
    <t>Nazwa jednostki budżetowej</t>
  </si>
  <si>
    <t>Ośrodek Pomocy Społecznej 
w Policach</t>
  </si>
  <si>
    <t>Ośrodek Sportu i Rekreacji 
w Policach</t>
  </si>
  <si>
    <t>Zakłady gospodarki mieszkaniowej</t>
  </si>
  <si>
    <t>Rezerwy ogólne i celowe</t>
  </si>
  <si>
    <t>Programy polityki zdrowotnej</t>
  </si>
  <si>
    <t>Ośrodki pomocy społecznej</t>
  </si>
  <si>
    <t>Żłobki</t>
  </si>
  <si>
    <t>Kolonie i obozy oraz inne formy wypoczynku dzieci</t>
  </si>
  <si>
    <t>i młodzieży szkolnej, a także szkolenia młodzieży</t>
  </si>
  <si>
    <t>Składki na ubezpieczenia zdrowotne opłacane za osoby</t>
  </si>
  <si>
    <t>Wpływy i wydatki związane z gromadzeniem</t>
  </si>
  <si>
    <t>środków z opłat produktowych</t>
  </si>
  <si>
    <t>Nazwa podziałki klasyfikacji budżetowej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</si>
  <si>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</si>
  <si>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</si>
  <si>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</si>
  <si>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</si>
  <si>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</si>
  <si>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</si>
  <si>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</si>
  <si>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</si>
  <si>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</si>
  <si>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</si>
  <si>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</si>
  <si>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</si>
  <si>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</si>
  <si>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</si>
  <si>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</si>
  <si>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</si>
  <si>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</si>
  <si>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</si>
  <si>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</si>
  <si>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</si>
  <si>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</si>
  <si>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</si>
  <si>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</si>
  <si>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</si>
  <si>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</si>
  <si>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</si>
  <si>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</si>
  <si>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</si>
  <si>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</si>
  <si>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Zadania w zakresie ochrony zdrowia,</t>
  </si>
  <si>
    <t>Zadania w zakresie pomocy społecznej,</t>
  </si>
  <si>
    <t>Wpływy z różnych dochodów</t>
  </si>
  <si>
    <t>Wpływy z opłat za koncesje i licencje</t>
  </si>
  <si>
    <t>Wpływy z różnych opłat</t>
  </si>
  <si>
    <t>24.</t>
  </si>
  <si>
    <t>25.</t>
  </si>
  <si>
    <t>Dotacje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</si>
  <si>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</si>
  <si>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</si>
  <si>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</si>
  <si>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</si>
  <si>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</si>
  <si>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Środki obrotowe na początek roku</t>
  </si>
  <si>
    <t>Środki obrotowe na koniec roku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</si>
  <si>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</si>
  <si>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</si>
  <si>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</si>
  <si>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</si>
  <si>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</si>
  <si>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</si>
  <si>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</si>
  <si>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</si>
  <si>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</si>
  <si>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</si>
  <si>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INTERREG IVA</t>
  </si>
  <si>
    <t>Program Operacyjny Infrastruktura 
i Środowisko</t>
  </si>
  <si>
    <t>Regionalny Program Operacyjny 
dla województwa zachodniopomorskiego</t>
  </si>
  <si>
    <t>2705</t>
  </si>
  <si>
    <t xml:space="preserve">          - z Polsko-Niemieckiej Współpracy Młodzieży</t>
  </si>
  <si>
    <t>"Żyj zdrowo - czyli w zdrowym ciele zdrowy duch i sprawny umysł"</t>
  </si>
  <si>
    <t>Szkoła Podstawowa nr 8 
w Policach</t>
  </si>
  <si>
    <t>Polsko-Niemiecka Współpraca Młodzieży Stowarzyszenia Gmin Polskich Euroregionu POMERANIA</t>
  </si>
  <si>
    <t>Gimnazjum nr 3 
w Policach</t>
  </si>
  <si>
    <t>"Święto Szkoły"</t>
  </si>
  <si>
    <t>Wydział OŚ</t>
  </si>
  <si>
    <t>Budowa sieci kanalizacji sanitarnej i deszczowej 
w Przęsocinie</t>
  </si>
  <si>
    <t>Rozbudowa sieci kanalizacji sanitarnej i deszczowej 
w Pilchowie</t>
  </si>
  <si>
    <t>Rozbudowa i modernizacja instalacji Zakładu Odzysku 
i Składowania Odpadów Komunalnych w Leśnie Górnym</t>
  </si>
  <si>
    <t>Budowa oświetlenia pomiędzy ul. Dolną a ul. Osadników 
w Trzebieży</t>
  </si>
  <si>
    <t>Budowa budynków mieszkalno-usługowych przy 
ul. Bankowej w Policach</t>
  </si>
  <si>
    <t>Budowa sieci kanalizacji sanitarnej i deszczowej 
w Tanowie</t>
  </si>
  <si>
    <t>Dodatkowe punkty oświetleniowe - ul.Odrzańska
-ul.Robotnicza w Policach</t>
  </si>
  <si>
    <t>Budowa sieci kanalizacji sanitarnej i deszczowej 
w Siedlicach</t>
  </si>
  <si>
    <t>Odsetki od nieterminowych wpłat z tytułu podatków i opłat</t>
  </si>
  <si>
    <t>Subwencje ogólne z budżetu państwa</t>
  </si>
  <si>
    <t xml:space="preserve"> </t>
  </si>
  <si>
    <t>Wyszczególnienie</t>
  </si>
  <si>
    <t>Plan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</si>
  <si>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</si>
  <si>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</si>
  <si>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</si>
  <si>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    dochód budżetu państwa:</t>
  </si>
  <si>
    <t xml:space="preserve">         - w podatku doch. od osób prawnych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</si>
  <si>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</si>
  <si>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</si>
  <si>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</si>
  <si>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c) sprzedaż mienia</t>
  </si>
  <si>
    <t xml:space="preserve">     d) pozostałe</t>
  </si>
  <si>
    <t xml:space="preserve">  3. Subwencje:</t>
  </si>
  <si>
    <t>wynagrodzenia 
i pochodne</t>
  </si>
  <si>
    <t>Rekompensaty utraconych dochodów w podatkach i opłatach lokalnych</t>
  </si>
  <si>
    <t>IV</t>
  </si>
  <si>
    <t>(według działów, rozdziałów i paragrafów klasyfikacji budżetowej)</t>
  </si>
  <si>
    <t>2. DOCHODY ZWIĄZANE Z REALIZACJĄ ZADAŃ WŁASNYCH</t>
  </si>
  <si>
    <t>3. DOCHODY ZWIĄZANE Z REALIZACJĄ ZADAŃ Z ZAKRESU ADMINISTRACJI RZĄDOWEJ 
ORAZ INNYCH ZADAŃ ZLECONYCH USTAWAMI</t>
  </si>
  <si>
    <t>(według działów i rozdziałów klasyfikacji budżetowej)</t>
  </si>
  <si>
    <t>(zestawienie zbiorcze według działów klasyfikacji budżetowej)</t>
  </si>
  <si>
    <t>(zestawienie zbiorcze ogółem według działów klasyfikacji budżetowej)</t>
  </si>
  <si>
    <t>(w układzie rodzajowym)</t>
  </si>
  <si>
    <t>Gryfitów                            (Nr 5)</t>
  </si>
  <si>
    <t>Księcia Bogusława X       (Nr 6)</t>
  </si>
  <si>
    <t>Anny Jagiellonki               (Nr 7)</t>
  </si>
  <si>
    <t>Zadania w zakresie działalności na rzecz wspierania osób niepełnosprawnych</t>
  </si>
  <si>
    <t>DOTACJE CELOWE NA ZADANIA REALIZOWANE NA PODSTAWIE POROZUMIEŃ (UMÓW) MIĘDZY JEDNOSTKAMI SAMORZĄDU TERYTORIALNEGO 
WYKONYWANE PRZEZ PODMIOTY NIENALEŻĄCE DO SEKTORA FINANSÓW PUBLICZNYCH
W 2009 ROKU</t>
  </si>
  <si>
    <t xml:space="preserve">     a) część oświatowa subwencji ogólnej dla jst</t>
  </si>
  <si>
    <t xml:space="preserve">bieżące </t>
  </si>
  <si>
    <t>majątkowe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</si>
  <si>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</si>
  <si>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</si>
  <si>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</si>
  <si>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 - dotacje z budżetu państwa</t>
  </si>
  <si>
    <t>Dotacje celowe otrzymane z budżetu państwa na realizację własnych zadań bieżących gmin (związków gmin)</t>
  </si>
  <si>
    <t>wynagrodzenia
i pochodne od wynagrodzeń</t>
  </si>
  <si>
    <t>wynagrodzenia 
i pochodne od wynagrodzeń</t>
  </si>
  <si>
    <t>Oddziały przedszkolne w szkołach podstawowych</t>
  </si>
  <si>
    <t>2708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</si>
  <si>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</si>
  <si>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</si>
  <si>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</si>
  <si>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</si>
  <si>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</si>
  <si>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</si>
  <si>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DZIAŁALNOŚĆ USŁUGOWA</t>
  </si>
  <si>
    <t>wpłata do budżetu</t>
  </si>
  <si>
    <t>ADMINISTRACJA PUBLICZNA</t>
  </si>
  <si>
    <t>URZĘDY NACZELNYCH ORGANÓW WŁADZY</t>
  </si>
  <si>
    <t>BEZPIECZEŃSTWO PUBLICZNE</t>
  </si>
  <si>
    <t>I OCHRONA PRZECIWPOŻAROWA</t>
  </si>
  <si>
    <t>RÓŻNE ROZLICZENIA</t>
  </si>
  <si>
    <t>OŚWIATA I WYCHOWANIE</t>
  </si>
  <si>
    <t>OCHRONA ZDROWIA</t>
  </si>
  <si>
    <t>EDUKACYJNA OPIEKA WYCHOWAWCZA</t>
  </si>
  <si>
    <t>GOSPODARKA KOMUNALNA</t>
  </si>
  <si>
    <t>KULTURA I OCHRONA DZIEDZICTWA</t>
  </si>
  <si>
    <t>NARODOWEGO</t>
  </si>
  <si>
    <t>RAZEM</t>
  </si>
  <si>
    <t>Rozdział</t>
  </si>
  <si>
    <t>Treść</t>
  </si>
  <si>
    <t>WYTWARZANIE I ZAOPATRYWANIE W ENERGIĘ</t>
  </si>
  <si>
    <t>Jednostka organizacyjna realizująca program
lub koordynująca wykonywanie programu</t>
  </si>
  <si>
    <t>Łączne nakłady finansowe</t>
  </si>
  <si>
    <t>Rok rozpoczęcia</t>
  </si>
  <si>
    <t>Rok zakończenia</t>
  </si>
  <si>
    <t>ELEKTRYCZNĄ, GAZ I WODĘ</t>
  </si>
  <si>
    <t>Dostarczanie wody</t>
  </si>
  <si>
    <t>Drogi publiczne gminne</t>
  </si>
  <si>
    <t>Zadania w zakresie upowszechniania turystyki</t>
  </si>
  <si>
    <t>Gospodarka gruntami i nieruchomościami</t>
  </si>
  <si>
    <t>Opracowania geodezyjne i kartograficzne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</si>
  <si>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</si>
  <si>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</si>
  <si>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</si>
  <si>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</si>
  <si>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</si>
  <si>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</si>
  <si>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</si>
  <si>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</si>
  <si>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Dodatki mieszkaniowe</t>
  </si>
  <si>
    <t>ŚRODOWISKA</t>
  </si>
  <si>
    <t>Gospodarka odpadami</t>
  </si>
  <si>
    <t>Paragraf</t>
  </si>
  <si>
    <t>01008</t>
  </si>
  <si>
    <t>Melioracje wodne</t>
  </si>
  <si>
    <t>01095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</si>
  <si>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</si>
  <si>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</si>
  <si>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</si>
  <si>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</si>
  <si>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</si>
  <si>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</si>
  <si>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</si>
  <si>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</si>
  <si>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Wydatki</t>
  </si>
  <si>
    <t>"Język angielski - lepszy start, lepsze jutro" 
nr projektu POKL/1/9.5/233/08</t>
  </si>
  <si>
    <t>Dochody jednostek samorządu terytorialnego związane z realizacją zadań z zakresu administracji rządowej oraz innych zadań zleconych ustawami</t>
  </si>
  <si>
    <t>Nazwa programu wraz z wykazem zadań inwestycyjnych</t>
  </si>
  <si>
    <t>Nakłady finansowe na realizację zadania (w złotych)</t>
  </si>
  <si>
    <t>Od</t>
  </si>
  <si>
    <t>Do</t>
  </si>
  <si>
    <t>ROZBUDOWA I MODERNIZACJA SIECI KOMUNIKACJI DROGOWEJ</t>
  </si>
  <si>
    <t>Modernizacja ul.Wyszyńskiego w Policach</t>
  </si>
  <si>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</si>
  <si>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realizację zadań bieżących jednostek sektora finansów publicznych</t>
  </si>
  <si>
    <t>KULTURA I OCHRONA DZIEDZICTWA NARODOWEGO</t>
  </si>
  <si>
    <t>2440</t>
  </si>
  <si>
    <t>Wpływy z podatku rolnego, podatku leśnego, podatku od spadków i darowizn,</t>
  </si>
  <si>
    <t>na ubezpieczenia emerytalne i rentowe z ubezpieczenia społecznego</t>
  </si>
  <si>
    <t>ROZBUDOWA I MODERNIZACJA ZASOBÓW MIESZKANIOWYCH</t>
  </si>
  <si>
    <t>Przebudowa remizy OSP w Trzebieży</t>
  </si>
  <si>
    <t>Wydz. TI</t>
  </si>
  <si>
    <t>TRANSGRANICZNA OCHRONA   ZASOBÓW  WÓD PODZIEMNYCH</t>
  </si>
  <si>
    <t>GOSPODARKA ZASOBAMI KOMUNALNYMI</t>
  </si>
  <si>
    <t xml:space="preserve">POPRAWA WARUNKÓW DZIAŁALNOŚCI SAMORZĄDÓW WIEJSKICH I OSIEDLOWYCH </t>
  </si>
  <si>
    <t xml:space="preserve">celowa
z budżetu
na inwestycje </t>
  </si>
  <si>
    <t>Promocja jednostek samorządu terytorialnego</t>
  </si>
  <si>
    <t>Zwalczanie narkomanii</t>
  </si>
  <si>
    <t xml:space="preserve">oraz składki na ubezpieczenia emerytalne i rentowe </t>
  </si>
  <si>
    <t xml:space="preserve">Plan </t>
  </si>
  <si>
    <t>Drogi publiczne wojewódzkie</t>
  </si>
  <si>
    <t>Powiat Policki</t>
  </si>
  <si>
    <t>Budowa świetlicy wiejskiej w Trzeszczynie</t>
  </si>
  <si>
    <t>dochody bieżące</t>
  </si>
  <si>
    <t>dochody majątkowe</t>
  </si>
  <si>
    <t>WYTWARZANIE I ZAOPATRYWANIE 
W ENERGIĘ ELEKTRYCZNĄ, GAZ I WODĘ</t>
  </si>
  <si>
    <t xml:space="preserve">URZĘDY NACZELNYCH ORGANÓW WŁADZY PAŃSTWOWEJ, </t>
  </si>
  <si>
    <t xml:space="preserve">DOCHODY OD OSÓB PRAWNYCH, OD OSÓB FIZYCZNYCH </t>
  </si>
  <si>
    <t>Przebudowa drogi powiatowej nr 0613Z Pilchowo-Police (odcinek Pilchowo-Siedlice)</t>
  </si>
  <si>
    <t>DOCHODY OD OSÓB PRAWNYCH, OD OSÓB FIZYCZNYCH I OD INNYCH</t>
  </si>
  <si>
    <t>JEDNOSTEK NIEPOSIADAJĄCYCH OSOBOWOŚCI  PRAWNEJ</t>
  </si>
  <si>
    <t>Zaległości od podatków zniesionych</t>
  </si>
  <si>
    <t xml:space="preserve">Dotacje rozwojowe oraz środki na finansowanie Wspólnej Polityki Rolnej </t>
  </si>
  <si>
    <t>Dotacje rozwojowe</t>
  </si>
  <si>
    <t>Dotacje celowe otrzymane z powiatu na inwestycje i zakupy inwestycyjne realizowane na podstawie porozumień (umów) między jednostkami samorządu terytorialnego</t>
  </si>
  <si>
    <t>Dotacje celowe otrzymane z budżetu państwa na inwestycje i zakupy inwestycyjne realizowane przez gminę na podstawie porozumień z organami administracji rządowej</t>
  </si>
  <si>
    <t xml:space="preserve">5. DOCHODY BUDŻETU GMINY POLICE W 2009 ROKU  </t>
  </si>
  <si>
    <t>Plan na rok 2009</t>
  </si>
  <si>
    <t xml:space="preserve">     l ) opłata za wydawanie zezwoleń na sprzedaż alkoholu</t>
  </si>
  <si>
    <t xml:space="preserve">          - z powiatu polickiego</t>
  </si>
  <si>
    <t xml:space="preserve">          - rozwojowe z Programu Operacyjnego Kapitał Ludzki, z tego:</t>
  </si>
  <si>
    <t xml:space="preserve">            ∙ ze środków pomocowych</t>
  </si>
  <si>
    <t xml:space="preserve">            ∙ z budżetu państwa na sfinansowanie wkładu własnego</t>
  </si>
  <si>
    <t xml:space="preserve">          - dotacje rozwojowe ze środków pomocowych</t>
  </si>
  <si>
    <t xml:space="preserve">          - z funduszy strukturalnych INTERREG IV</t>
  </si>
  <si>
    <t xml:space="preserve">          - z Fundacji Współpracy Polsko - Niemieckiej</t>
  </si>
  <si>
    <t xml:space="preserve">     b) na zadania z zakresu administracji rządowej</t>
  </si>
  <si>
    <t xml:space="preserve">         oraz inne zlecone ustawami, z tego:</t>
  </si>
  <si>
    <t xml:space="preserve">     c) na zadania realizowane przez gminę na podstawie porozumień, z tego:</t>
  </si>
  <si>
    <t xml:space="preserve">         - dotacja z powiatu polickiego</t>
  </si>
  <si>
    <t xml:space="preserve">         - dotacja z budżetu państwa</t>
  </si>
  <si>
    <t xml:space="preserve">         - dotacja rozwojowa ze środków pomocowych</t>
  </si>
  <si>
    <t>Plan na 2009 r.</t>
  </si>
  <si>
    <t xml:space="preserve">Utrzymanie zieleni </t>
  </si>
  <si>
    <t>Środki finansowe pozostałe z 2009 r.</t>
  </si>
  <si>
    <t xml:space="preserve">WYKAZ   WIELOLETNICH   PROGRAMÓW   INWESTYCYJNYCH   NA   LATA   2009 - 2013 </t>
  </si>
  <si>
    <t>Nakłady poniesione do 2008</t>
  </si>
  <si>
    <t>Planowane nakłady w 2009</t>
  </si>
  <si>
    <t>po 2013</t>
  </si>
  <si>
    <t>Zintegrowany projekt zakupu autobusów dla SPPK Sp. z o.o. - pomoc finansowa dla Gminy Miasto Szczecin</t>
  </si>
  <si>
    <t>Wydz. SO</t>
  </si>
  <si>
    <t>Budowa budynku socjalnego przy ul. Niedziałkowskiego 12 
w Policach</t>
  </si>
  <si>
    <t>Wydz. UA</t>
  </si>
  <si>
    <t>Odprowadzenie ścieków i wód opadowych z rejonu 
ul. Tanowskiej w Policach i miejscowości Trzeszczyn</t>
  </si>
  <si>
    <t>Budowa kanalizacji sanitarnej i deszczowej w ul. J.Kochanowskiego, Galla Anonima, M.Reja, W.Kadłubka 
i Wkrzańskiej w Policach.</t>
  </si>
  <si>
    <t xml:space="preserve">            ∙ z Wojewódzkiego Funduszu Ochrony Środowiska i Gospodarki Wodnej 
              oraz Narodowego Funduszu Ochrony Środowiska i Gospodarki Wodnej</t>
  </si>
  <si>
    <t>Transgraniczny Ośrodek Edukacji Ekologicznej - projekt pn. "Życie nad Zalewem Szczecińskim 
i w Puszczy Wkrzańskiej - ekologia, edukacja 
i historia"</t>
  </si>
  <si>
    <t>Odprowadzenie ścieków i wód opadowych 
z rejonu ul. Tanowskiej w Policach 
i m. Trzeszczyn</t>
  </si>
  <si>
    <t>EDUKACJA EKOLOGICZNA</t>
  </si>
  <si>
    <t>Transgraniczny Ośrodek Edukacji Ekologicznej - projekt 
pn. "Życie nad zalewem Szczecińskim i w Puszczy Wkrzańskiej - ekologia, edukacja i historia"</t>
  </si>
  <si>
    <t>Budowa sieci kanalizacji sanitarnej i deszczowej oraz sieci wodociągowej w ul. Brzoskwiniowej, Wiśniowej i Czereśniowej w Policach</t>
  </si>
  <si>
    <t>Przebudowa rurociągu na cieku melioracyjnym "Grzybnica" oraz budowa sieci kanalizacji sanitarnej 
w ul. Kochanowskiego w Policach</t>
  </si>
  <si>
    <t>ZOiSOK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</si>
  <si>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</si>
  <si>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</si>
  <si>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</si>
  <si>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</si>
  <si>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przy ul. Sikorskiego w Wieńkowie</t>
  </si>
  <si>
    <t>Budowa oświetlenia przy pomniku w Trzeszczynie</t>
  </si>
  <si>
    <t>Dodatkowe punkty oświetleniowe w m. Siedlice</t>
  </si>
  <si>
    <t>Modernizacja budynku MOK przy ul. Siedleckiej w Policach</t>
  </si>
  <si>
    <t>I OD INNYCH JEDNOSTEK NIEPOSIADAJĄCYCH OSOBOWOŚCI PRAWNEJ</t>
  </si>
  <si>
    <t>POZOSTAŁE ZADANIA W ZAKRESIE POLITYKI SPOŁECZNEJ</t>
  </si>
  <si>
    <t>0770</t>
  </si>
  <si>
    <t>Wpłaty z tytułu odpłatnego nabycia prawa własności oraz prawa użytkowania wieczystego nieruchomości</t>
  </si>
  <si>
    <t>0370</t>
  </si>
  <si>
    <t>Opłata od posiadania psów</t>
  </si>
  <si>
    <t>Pozostałe zadania w zakresie polityki społecznej</t>
  </si>
  <si>
    <t>4. DOCHODY ZWIĄZANE Z REALIZACJĄ ZADAŃ WYKONYWANYCH NA PODSTAWIE POROZUMIEŃ (UMÓW) 
MIĘDZY JEDNOSTKAMI SAMORZĄDU TERYTORIALNEGO</t>
  </si>
  <si>
    <t xml:space="preserve">     c) opłata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</si>
  <si>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</si>
  <si>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</si>
  <si>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</si>
  <si>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</si>
  <si>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</si>
  <si>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 ) udziały w podatkach stanowiących</t>
  </si>
  <si>
    <t xml:space="preserve">     j ) podatek rolny</t>
  </si>
  <si>
    <t xml:space="preserve">     k) podatek leśny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</si>
  <si>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</si>
  <si>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</si>
  <si>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</si>
  <si>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</si>
  <si>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</si>
  <si>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      - dzierżawa na targowisku</t>
  </si>
  <si>
    <t xml:space="preserve">          - z budżetu państwa</t>
  </si>
  <si>
    <t xml:space="preserve">          - z funduszy celowych, z tego:</t>
  </si>
  <si>
    <t xml:space="preserve">            ∙ z Gminnego Funduszu Ochrony Środowiska i Gospodarki Wodnej</t>
  </si>
  <si>
    <t>inne</t>
  </si>
  <si>
    <t>ŚRODKI BUDŻETOWE</t>
  </si>
  <si>
    <t>ŚRODKI POMOCOWE</t>
  </si>
  <si>
    <t>INNE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</si>
  <si>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</si>
  <si>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</si>
  <si>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</si>
  <si>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</si>
  <si>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</si>
  <si>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GOSPODARKA KOMUNALNA I OCHRONA</t>
  </si>
  <si>
    <t>Oświetlenie ulic, placów i dróg</t>
  </si>
  <si>
    <t>Drogi publiczne powiatowe</t>
  </si>
  <si>
    <t>z tego:</t>
  </si>
  <si>
    <t>w tym:</t>
  </si>
  <si>
    <t>dotacje</t>
  </si>
  <si>
    <t>010</t>
  </si>
  <si>
    <t>ROLNICTWO I ŁOWIECTWO</t>
  </si>
  <si>
    <t>400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</si>
  <si>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</si>
  <si>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</si>
  <si>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</si>
  <si>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</si>
  <si>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</si>
  <si>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</si>
  <si>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01030</t>
  </si>
  <si>
    <t>Izby rolnicze</t>
  </si>
  <si>
    <t>Lokalny transport zbiorowy</t>
  </si>
  <si>
    <t>Różne rozliczenia finansowe</t>
  </si>
  <si>
    <t>Plany zagospodarowania przestrzennego</t>
  </si>
  <si>
    <t>Obsługa papierów wartościowych, kredytów</t>
  </si>
  <si>
    <t>i pożyczek jednostek samorządu terytorialnego</t>
  </si>
  <si>
    <t>Dowożenie uczniów do szkół</t>
  </si>
  <si>
    <t>Przeciwdziałanie alkoholizmowi</t>
  </si>
  <si>
    <t>Zakład Wodociągów i Kanalizacji 
w Policach</t>
  </si>
  <si>
    <t>Zakład Gospodarki Komunalnej 
i Mieszkaniowej w Policach</t>
  </si>
  <si>
    <t>Inne zadania</t>
  </si>
  <si>
    <t xml:space="preserve">POMOC SPOŁECZNA </t>
  </si>
  <si>
    <t xml:space="preserve">Zasiłki i pomoc w naturze oraz składki na </t>
  </si>
  <si>
    <t>Usługi opiekuńcze i specjalistyczne</t>
  </si>
  <si>
    <t>usługi opiekuńcze</t>
  </si>
  <si>
    <t>Przedszkola</t>
  </si>
  <si>
    <t>Przedszkola specjalne</t>
  </si>
  <si>
    <t>Gospodarka ściekowa i ochrona wód</t>
  </si>
  <si>
    <t>Oczyszczanie miast i wsi</t>
  </si>
  <si>
    <t>Domy i ośrodki kultury, świetlice i kluby</t>
  </si>
  <si>
    <t>Rady gmin (miast i miast na prawach powiatu)</t>
  </si>
  <si>
    <t>Zadania w zakresie kultury fizycznej i sportu</t>
  </si>
  <si>
    <t>Urzędy wojewódzkie</t>
  </si>
  <si>
    <t xml:space="preserve">PAŃSTWOWEJ, KONTROLI I OCHRONY </t>
  </si>
  <si>
    <t>Poz.</t>
  </si>
  <si>
    <t>w zł</t>
  </si>
  <si>
    <t>x</t>
  </si>
  <si>
    <t>Lp.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</si>
  <si>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</si>
  <si>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</si>
  <si>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</si>
  <si>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</si>
  <si>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</si>
  <si>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Zadania w zakresie upowszechniania kultury fizycznej</t>
  </si>
  <si>
    <t>i sportu</t>
  </si>
  <si>
    <t xml:space="preserve"> - przeciwdziałanie patologiom społecznym poprzez</t>
  </si>
  <si>
    <t xml:space="preserve">   prowadzenie działalności na rzecz niepijących</t>
  </si>
  <si>
    <t xml:space="preserve">   alkoholików</t>
  </si>
  <si>
    <t xml:space="preserve"> - pomoc osobom chorym na fenyloketonurię i cukrzycę</t>
  </si>
  <si>
    <t xml:space="preserve">   opieka hospicyjna i inne</t>
  </si>
  <si>
    <t xml:space="preserve"> - ochrona zabytków wpisanych do rejestru zabytków</t>
  </si>
  <si>
    <t xml:space="preserve"> - podtrzymywanie tradycji narodowej, pielęgnowanie </t>
  </si>
  <si>
    <t xml:space="preserve">   obywatelskiej, kulturowej</t>
  </si>
  <si>
    <t xml:space="preserve">   polskości oraz rozwój świadomości narodowej</t>
  </si>
  <si>
    <t>Nadwyżka budżetu z lat ubiegłych</t>
  </si>
  <si>
    <t>§ 957</t>
  </si>
  <si>
    <t>Kwota</t>
  </si>
  <si>
    <t>INSTYTUCJE KULTURY:</t>
  </si>
  <si>
    <t>POZOSTAŁE PODMIOTY:</t>
  </si>
  <si>
    <t>Studium wykonalności obwodnicy Szczecina</t>
  </si>
  <si>
    <t>Środki na dofinansowanie własnych inwestycji gmin (związków gmin), powiatów (związków powiatów), samorządów województw, pozyskane z innych źródeł</t>
  </si>
  <si>
    <t>Grzywny, mandaty i inne kary pieniężne od osób fizycznych</t>
  </si>
  <si>
    <t>Wpływy z opłaty eksploatacyjnej</t>
  </si>
  <si>
    <t>Wpływy z opłat za wydawanie zezwoleń na sprzedaż alkoholu</t>
  </si>
  <si>
    <t xml:space="preserve">Udziały gmin w podatkach stanowiących </t>
  </si>
  <si>
    <t>Pomoc materialna dla uczniów</t>
  </si>
  <si>
    <t>Jasienica                          (Nr 3)</t>
  </si>
  <si>
    <t>Dąbrówki                          (Nr 4)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</si>
  <si>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</si>
  <si>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</si>
  <si>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</si>
  <si>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</si>
  <si>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</si>
  <si>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</si>
  <si>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</si>
  <si>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</si>
  <si>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</si>
  <si>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</si>
  <si>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</si>
  <si>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</si>
  <si>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</si>
  <si>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</si>
  <si>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</si>
  <si>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</si>
  <si>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</si>
  <si>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</si>
  <si>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</si>
  <si>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</si>
  <si>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</si>
  <si>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</si>
  <si>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</si>
  <si>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</si>
  <si>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</si>
  <si>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</si>
  <si>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</si>
  <si>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jednostek samorządu terytorialnego na podstawie ustaw</t>
  </si>
  <si>
    <t>Dział 921 rozdział 92109</t>
  </si>
  <si>
    <t>Ochotnicze Hufce Pracy</t>
  </si>
  <si>
    <t>Dokształcanie i doskonalenie nauczycieli</t>
  </si>
  <si>
    <t>Biblioteki</t>
  </si>
  <si>
    <t>Edukacja ekologiczna</t>
  </si>
  <si>
    <t>Roz-dział</t>
  </si>
  <si>
    <t>Podmiot wykonujący</t>
  </si>
  <si>
    <t>Wydz.TI</t>
  </si>
  <si>
    <t>Wydz.GKM</t>
  </si>
  <si>
    <t>i innych jednostek organizacyjnych</t>
  </si>
  <si>
    <t>Instytucje kultury fizycznej</t>
  </si>
  <si>
    <t>Nazwa zakładu budżetowego</t>
  </si>
  <si>
    <t>Szkoła Podstawowa nr 1 w Policach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</si>
</sst>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3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sz val="14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0"/>
    </font>
    <font>
      <b/>
      <sz val="16"/>
      <color indexed="10"/>
      <name val="Arial CE"/>
      <family val="0"/>
    </font>
    <font>
      <sz val="9"/>
      <name val="Arial"/>
      <family val="2"/>
    </font>
    <font>
      <b/>
      <sz val="9"/>
      <color indexed="10"/>
      <name val="Arial CE"/>
      <family val="0"/>
    </font>
    <font>
      <sz val="11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167" fontId="0" fillId="0" borderId="7" xfId="15" applyNumberFormat="1" applyFont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/>
    </xf>
    <xf numFmtId="0" fontId="13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8" fillId="0" borderId="0" xfId="19" applyFont="1">
      <alignment/>
      <protection/>
    </xf>
    <xf numFmtId="0" fontId="14" fillId="0" borderId="0" xfId="19" applyFont="1" applyAlignment="1">
      <alignment horizontal="left"/>
      <protection/>
    </xf>
    <xf numFmtId="167" fontId="10" fillId="0" borderId="22" xfId="19" applyNumberFormat="1" applyFont="1" applyBorder="1" applyAlignment="1">
      <alignment horizontal="right" vertical="center" wrapText="1"/>
      <protection/>
    </xf>
    <xf numFmtId="0" fontId="10" fillId="0" borderId="23" xfId="19" applyFont="1" applyBorder="1">
      <alignment/>
      <protection/>
    </xf>
    <xf numFmtId="0" fontId="10" fillId="0" borderId="6" xfId="19" applyFont="1" applyBorder="1">
      <alignment/>
      <protection/>
    </xf>
    <xf numFmtId="0" fontId="10" fillId="0" borderId="24" xfId="19" applyFont="1" applyFill="1" applyBorder="1">
      <alignment/>
      <protection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3" fontId="6" fillId="0" borderId="9" xfId="0" applyNumberFormat="1" applyFont="1" applyBorder="1" applyAlignment="1">
      <alignment horizontal="centerContinuous"/>
    </xf>
    <xf numFmtId="3" fontId="11" fillId="0" borderId="9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4" fillId="0" borderId="26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0" fillId="0" borderId="6" xfId="0" applyFont="1" applyBorder="1" applyAlignment="1">
      <alignment/>
    </xf>
    <xf numFmtId="0" fontId="0" fillId="0" borderId="26" xfId="19" applyFont="1" applyBorder="1" applyAlignment="1">
      <alignment horizontal="center" vertical="top" wrapText="1"/>
      <protection/>
    </xf>
    <xf numFmtId="0" fontId="0" fillId="0" borderId="0" xfId="19" applyFont="1">
      <alignment/>
      <protection/>
    </xf>
    <xf numFmtId="0" fontId="10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167" fontId="10" fillId="0" borderId="27" xfId="19" applyNumberFormat="1" applyFont="1" applyBorder="1" applyAlignment="1">
      <alignment horizontal="right" vertical="center" wrapText="1"/>
      <protection/>
    </xf>
    <xf numFmtId="167" fontId="10" fillId="0" borderId="28" xfId="19" applyNumberFormat="1" applyFont="1" applyBorder="1" applyAlignment="1">
      <alignment horizontal="right" vertical="center" wrapText="1"/>
      <protection/>
    </xf>
    <xf numFmtId="167" fontId="0" fillId="0" borderId="0" xfId="19" applyNumberFormat="1" applyFont="1">
      <alignment/>
      <protection/>
    </xf>
    <xf numFmtId="0" fontId="0" fillId="0" borderId="29" xfId="19" applyFont="1" applyBorder="1" applyAlignment="1">
      <alignment horizontal="center" vertical="center" wrapText="1"/>
      <protection/>
    </xf>
    <xf numFmtId="0" fontId="0" fillId="0" borderId="30" xfId="19" applyFont="1" applyBorder="1" applyAlignment="1">
      <alignment horizontal="center" vertical="center" wrapText="1"/>
      <protection/>
    </xf>
    <xf numFmtId="3" fontId="0" fillId="0" borderId="31" xfId="19" applyNumberFormat="1" applyFont="1" applyBorder="1" applyAlignment="1">
      <alignment horizontal="right" vertical="center" wrapText="1"/>
      <protection/>
    </xf>
    <xf numFmtId="167" fontId="0" fillId="0" borderId="7" xfId="19" applyNumberFormat="1" applyFont="1" applyBorder="1" applyAlignment="1">
      <alignment horizontal="right" vertical="center" wrapText="1"/>
      <protection/>
    </xf>
    <xf numFmtId="3" fontId="0" fillId="0" borderId="7" xfId="15" applyNumberFormat="1" applyFont="1" applyBorder="1" applyAlignment="1">
      <alignment horizontal="right" vertical="center" wrapText="1"/>
    </xf>
    <xf numFmtId="41" fontId="0" fillId="0" borderId="32" xfId="15" applyNumberFormat="1" applyFont="1" applyBorder="1" applyAlignment="1">
      <alignment horizontal="right" vertical="center" wrapText="1"/>
    </xf>
    <xf numFmtId="0" fontId="0" fillId="0" borderId="32" xfId="19" applyFont="1" applyBorder="1" applyAlignment="1">
      <alignment horizontal="center" vertical="center" wrapText="1"/>
      <protection/>
    </xf>
    <xf numFmtId="0" fontId="0" fillId="0" borderId="33" xfId="19" applyFont="1" applyBorder="1" applyAlignment="1">
      <alignment horizontal="center" vertical="center" wrapText="1"/>
      <protection/>
    </xf>
    <xf numFmtId="0" fontId="0" fillId="0" borderId="34" xfId="19" applyFont="1" applyBorder="1" applyAlignment="1">
      <alignment horizontal="center" vertical="center" wrapText="1"/>
      <protection/>
    </xf>
    <xf numFmtId="167" fontId="0" fillId="0" borderId="8" xfId="19" applyNumberFormat="1" applyFont="1" applyBorder="1" applyAlignment="1">
      <alignment horizontal="right" vertical="center" wrapText="1"/>
      <protection/>
    </xf>
    <xf numFmtId="41" fontId="0" fillId="0" borderId="35" xfId="19" applyNumberFormat="1" applyFont="1" applyBorder="1" applyAlignment="1">
      <alignment horizontal="right" vertical="center" wrapText="1"/>
      <protection/>
    </xf>
    <xf numFmtId="167" fontId="10" fillId="0" borderId="22" xfId="15" applyNumberFormat="1" applyFont="1" applyBorder="1" applyAlignment="1">
      <alignment horizontal="right" vertical="center" wrapText="1"/>
    </xf>
    <xf numFmtId="0" fontId="0" fillId="0" borderId="26" xfId="19" applyFont="1" applyBorder="1" applyAlignment="1">
      <alignment horizontal="center" vertical="top"/>
      <protection/>
    </xf>
    <xf numFmtId="0" fontId="0" fillId="0" borderId="0" xfId="19" applyFont="1" applyFill="1">
      <alignment/>
      <protection/>
    </xf>
    <xf numFmtId="0" fontId="0" fillId="0" borderId="36" xfId="19" applyFont="1" applyFill="1" applyBorder="1" applyAlignment="1">
      <alignment horizontal="center"/>
      <protection/>
    </xf>
    <xf numFmtId="0" fontId="10" fillId="0" borderId="36" xfId="19" applyFont="1" applyFill="1" applyBorder="1" applyAlignment="1">
      <alignment horizontal="center"/>
      <protection/>
    </xf>
    <xf numFmtId="0" fontId="10" fillId="0" borderId="37" xfId="19" applyFont="1" applyFill="1" applyBorder="1" applyAlignment="1">
      <alignment horizontal="center"/>
      <protection/>
    </xf>
    <xf numFmtId="3" fontId="10" fillId="0" borderId="38" xfId="19" applyNumberFormat="1" applyFont="1" applyFill="1" applyBorder="1" applyAlignment="1">
      <alignment horizontal="right" vertical="center" wrapText="1"/>
      <protection/>
    </xf>
    <xf numFmtId="167" fontId="10" fillId="0" borderId="22" xfId="19" applyNumberFormat="1" applyFont="1" applyFill="1" applyBorder="1" applyAlignment="1">
      <alignment horizontal="right" vertical="center" wrapText="1"/>
      <protection/>
    </xf>
    <xf numFmtId="167" fontId="10" fillId="0" borderId="22" xfId="15" applyNumberFormat="1" applyFont="1" applyFill="1" applyBorder="1" applyAlignment="1">
      <alignment horizontal="right" vertical="center" wrapText="1"/>
    </xf>
    <xf numFmtId="167" fontId="10" fillId="0" borderId="24" xfId="15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11" fillId="0" borderId="39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67" fontId="0" fillId="0" borderId="30" xfId="15" applyNumberFormat="1" applyFont="1" applyBorder="1" applyAlignment="1">
      <alignment horizontal="right" vertical="center" wrapText="1"/>
    </xf>
    <xf numFmtId="167" fontId="0" fillId="0" borderId="41" xfId="15" applyNumberFormat="1" applyFont="1" applyBorder="1" applyAlignment="1">
      <alignment horizontal="right" vertical="center" wrapText="1"/>
    </xf>
    <xf numFmtId="0" fontId="0" fillId="0" borderId="42" xfId="19" applyFont="1" applyBorder="1" applyAlignment="1">
      <alignment horizontal="center" vertical="top" wrapText="1"/>
      <protection/>
    </xf>
    <xf numFmtId="3" fontId="10" fillId="0" borderId="7" xfId="19" applyNumberFormat="1" applyFont="1" applyBorder="1" applyAlignment="1">
      <alignment horizontal="right"/>
      <protection/>
    </xf>
    <xf numFmtId="3" fontId="10" fillId="0" borderId="31" xfId="19" applyNumberFormat="1" applyFont="1" applyBorder="1" applyAlignment="1">
      <alignment horizontal="right"/>
      <protection/>
    </xf>
    <xf numFmtId="167" fontId="0" fillId="0" borderId="31" xfId="15" applyNumberFormat="1" applyFont="1" applyBorder="1" applyAlignment="1">
      <alignment horizontal="right" vertical="center" wrapText="1"/>
    </xf>
    <xf numFmtId="167" fontId="0" fillId="0" borderId="43" xfId="15" applyNumberFormat="1" applyFont="1" applyBorder="1" applyAlignment="1">
      <alignment horizontal="right" vertical="center" wrapText="1"/>
    </xf>
    <xf numFmtId="3" fontId="10" fillId="0" borderId="27" xfId="19" applyNumberFormat="1" applyFont="1" applyBorder="1" applyAlignment="1">
      <alignment horizontal="right"/>
      <protection/>
    </xf>
    <xf numFmtId="167" fontId="0" fillId="0" borderId="44" xfId="15" applyNumberFormat="1" applyFont="1" applyBorder="1" applyAlignment="1">
      <alignment horizontal="right" vertical="center" wrapText="1"/>
    </xf>
    <xf numFmtId="3" fontId="10" fillId="0" borderId="17" xfId="19" applyNumberFormat="1" applyFont="1" applyBorder="1" applyAlignment="1">
      <alignment horizontal="right"/>
      <protection/>
    </xf>
    <xf numFmtId="3" fontId="10" fillId="0" borderId="7" xfId="19" applyNumberFormat="1" applyFont="1" applyBorder="1" applyAlignment="1">
      <alignment horizontal="right" vertical="center" wrapText="1"/>
      <protection/>
    </xf>
    <xf numFmtId="167" fontId="0" fillId="0" borderId="11" xfId="15" applyNumberFormat="1" applyFont="1" applyBorder="1" applyAlignment="1">
      <alignment horizontal="right" vertical="center" wrapText="1"/>
    </xf>
    <xf numFmtId="167" fontId="10" fillId="0" borderId="45" xfId="19" applyNumberFormat="1" applyFont="1" applyBorder="1" applyAlignment="1">
      <alignment horizontal="right" vertical="center" wrapText="1"/>
      <protection/>
    </xf>
    <xf numFmtId="167" fontId="0" fillId="0" borderId="5" xfId="15" applyNumberFormat="1" applyFont="1" applyBorder="1" applyAlignment="1">
      <alignment horizontal="right" vertical="center" wrapText="1"/>
    </xf>
    <xf numFmtId="3" fontId="10" fillId="0" borderId="46" xfId="19" applyNumberFormat="1" applyFont="1" applyBorder="1" applyAlignment="1">
      <alignment horizontal="right" vertical="center" wrapText="1"/>
      <protection/>
    </xf>
    <xf numFmtId="167" fontId="10" fillId="0" borderId="47" xfId="19" applyNumberFormat="1" applyFont="1" applyBorder="1" applyAlignment="1">
      <alignment horizontal="right" vertical="center" wrapText="1"/>
      <protection/>
    </xf>
    <xf numFmtId="3" fontId="0" fillId="0" borderId="48" xfId="19" applyNumberFormat="1" applyFont="1" applyBorder="1" applyAlignment="1">
      <alignment horizontal="right" vertical="center" wrapText="1"/>
      <protection/>
    </xf>
    <xf numFmtId="3" fontId="0" fillId="0" borderId="49" xfId="19" applyNumberFormat="1" applyFont="1" applyBorder="1" applyAlignment="1">
      <alignment horizontal="right" vertical="center" wrapText="1"/>
      <protection/>
    </xf>
    <xf numFmtId="3" fontId="10" fillId="0" borderId="50" xfId="19" applyNumberFormat="1" applyFont="1" applyBorder="1" applyAlignment="1">
      <alignment horizontal="right"/>
      <protection/>
    </xf>
    <xf numFmtId="167" fontId="0" fillId="0" borderId="3" xfId="15" applyNumberFormat="1" applyFont="1" applyBorder="1" applyAlignment="1">
      <alignment horizontal="right" vertical="center" wrapText="1"/>
    </xf>
    <xf numFmtId="3" fontId="10" fillId="0" borderId="45" xfId="19" applyNumberFormat="1" applyFont="1" applyBorder="1" applyAlignment="1">
      <alignment horizontal="right"/>
      <protection/>
    </xf>
    <xf numFmtId="167" fontId="0" fillId="0" borderId="23" xfId="15" applyNumberFormat="1" applyFont="1" applyBorder="1" applyAlignment="1">
      <alignment horizontal="right" vertical="center" wrapText="1"/>
    </xf>
    <xf numFmtId="167" fontId="0" fillId="0" borderId="50" xfId="15" applyNumberFormat="1" applyFont="1" applyBorder="1" applyAlignment="1">
      <alignment horizontal="right" vertical="center" wrapText="1"/>
    </xf>
    <xf numFmtId="0" fontId="0" fillId="0" borderId="51" xfId="19" applyFont="1" applyBorder="1" applyAlignment="1">
      <alignment horizontal="center" vertical="center" wrapText="1"/>
      <protection/>
    </xf>
    <xf numFmtId="0" fontId="0" fillId="0" borderId="52" xfId="19" applyFont="1" applyBorder="1" applyAlignment="1">
      <alignment horizontal="center" vertical="center" wrapText="1"/>
      <protection/>
    </xf>
    <xf numFmtId="3" fontId="0" fillId="0" borderId="48" xfId="19" applyNumberFormat="1" applyFont="1" applyBorder="1" applyAlignment="1">
      <alignment horizontal="right"/>
      <protection/>
    </xf>
    <xf numFmtId="3" fontId="10" fillId="0" borderId="10" xfId="19" applyNumberFormat="1" applyFont="1" applyBorder="1" applyAlignment="1">
      <alignment horizontal="right"/>
      <protection/>
    </xf>
    <xf numFmtId="41" fontId="10" fillId="0" borderId="53" xfId="19" applyNumberFormat="1" applyFont="1" applyBorder="1" applyAlignment="1">
      <alignment horizontal="right" vertical="center" wrapText="1"/>
      <protection/>
    </xf>
    <xf numFmtId="3" fontId="10" fillId="0" borderId="48" xfId="19" applyNumberFormat="1" applyFont="1" applyBorder="1" applyAlignment="1">
      <alignment horizontal="right"/>
      <protection/>
    </xf>
    <xf numFmtId="41" fontId="10" fillId="0" borderId="32" xfId="19" applyNumberFormat="1" applyFont="1" applyBorder="1" applyAlignment="1">
      <alignment horizontal="right" vertical="center" wrapText="1"/>
      <protection/>
    </xf>
    <xf numFmtId="0" fontId="0" fillId="0" borderId="29" xfId="19" applyFont="1" applyBorder="1" applyAlignment="1">
      <alignment horizontal="center"/>
      <protection/>
    </xf>
    <xf numFmtId="0" fontId="0" fillId="0" borderId="30" xfId="19" applyFont="1" applyBorder="1" applyAlignment="1">
      <alignment horizontal="center"/>
      <protection/>
    </xf>
    <xf numFmtId="0" fontId="0" fillId="0" borderId="33" xfId="19" applyFont="1" applyBorder="1" applyAlignment="1">
      <alignment horizontal="center"/>
      <protection/>
    </xf>
    <xf numFmtId="0" fontId="0" fillId="0" borderId="41" xfId="19" applyFont="1" applyBorder="1" applyAlignment="1">
      <alignment horizontal="center"/>
      <protection/>
    </xf>
    <xf numFmtId="3" fontId="10" fillId="0" borderId="31" xfId="19" applyNumberFormat="1" applyFont="1" applyBorder="1" applyAlignment="1">
      <alignment horizontal="right" vertical="center" wrapText="1"/>
      <protection/>
    </xf>
    <xf numFmtId="3" fontId="10" fillId="0" borderId="44" xfId="19" applyNumberFormat="1" applyFont="1" applyBorder="1" applyAlignment="1">
      <alignment horizontal="right" vertical="center" wrapText="1"/>
      <protection/>
    </xf>
    <xf numFmtId="3" fontId="10" fillId="0" borderId="48" xfId="19" applyNumberFormat="1" applyFont="1" applyBorder="1" applyAlignment="1">
      <alignment horizontal="right" vertical="center" wrapText="1"/>
      <protection/>
    </xf>
    <xf numFmtId="3" fontId="10" fillId="0" borderId="50" xfId="19" applyNumberFormat="1" applyFont="1" applyBorder="1" applyAlignment="1">
      <alignment horizontal="right" vertical="center" wrapText="1"/>
      <protection/>
    </xf>
    <xf numFmtId="3" fontId="10" fillId="0" borderId="10" xfId="19" applyNumberFormat="1" applyFont="1" applyBorder="1" applyAlignment="1">
      <alignment horizontal="right" vertical="center" wrapText="1"/>
      <protection/>
    </xf>
    <xf numFmtId="41" fontId="10" fillId="0" borderId="47" xfId="19" applyNumberFormat="1" applyFont="1" applyBorder="1" applyAlignment="1">
      <alignment horizontal="right" vertical="center" wrapText="1"/>
      <protection/>
    </xf>
    <xf numFmtId="3" fontId="10" fillId="0" borderId="47" xfId="19" applyNumberFormat="1" applyFont="1" applyBorder="1" applyAlignment="1">
      <alignment horizontal="right"/>
      <protection/>
    </xf>
    <xf numFmtId="3" fontId="10" fillId="0" borderId="39" xfId="19" applyNumberFormat="1" applyFont="1" applyBorder="1" applyAlignment="1">
      <alignment horizontal="right"/>
      <protection/>
    </xf>
    <xf numFmtId="3" fontId="10" fillId="0" borderId="30" xfId="19" applyNumberFormat="1" applyFont="1" applyBorder="1" applyAlignment="1">
      <alignment horizontal="right"/>
      <protection/>
    </xf>
    <xf numFmtId="167" fontId="0" fillId="0" borderId="18" xfId="15" applyNumberFormat="1" applyFont="1" applyBorder="1" applyAlignment="1">
      <alignment horizontal="right" vertical="center" wrapText="1"/>
    </xf>
    <xf numFmtId="3" fontId="0" fillId="0" borderId="31" xfId="19" applyNumberFormat="1" applyFont="1" applyBorder="1" applyAlignment="1">
      <alignment horizontal="right"/>
      <protection/>
    </xf>
    <xf numFmtId="3" fontId="0" fillId="0" borderId="18" xfId="15" applyNumberFormat="1" applyFont="1" applyBorder="1" applyAlignment="1">
      <alignment horizontal="right" vertical="center" wrapText="1"/>
    </xf>
    <xf numFmtId="41" fontId="0" fillId="0" borderId="35" xfId="15" applyNumberFormat="1" applyFont="1" applyBorder="1" applyAlignment="1">
      <alignment horizontal="right" vertical="center" wrapText="1"/>
    </xf>
    <xf numFmtId="41" fontId="0" fillId="0" borderId="34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0" fontId="0" fillId="0" borderId="1" xfId="19" applyFont="1" applyBorder="1" applyAlignment="1">
      <alignment horizontal="center" vertical="top" wrapText="1"/>
      <protection/>
    </xf>
    <xf numFmtId="0" fontId="10" fillId="0" borderId="48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 vertical="top"/>
      <protection/>
    </xf>
    <xf numFmtId="3" fontId="10" fillId="0" borderId="53" xfId="19" applyNumberFormat="1" applyFont="1" applyBorder="1" applyAlignment="1">
      <alignment horizontal="right"/>
      <protection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centerContinuous"/>
    </xf>
    <xf numFmtId="3" fontId="4" fillId="0" borderId="25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3" fontId="0" fillId="0" borderId="54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0" fillId="0" borderId="55" xfId="19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42" xfId="19" applyFont="1" applyBorder="1" applyAlignment="1">
      <alignment horizontal="center"/>
      <protection/>
    </xf>
    <xf numFmtId="167" fontId="0" fillId="0" borderId="17" xfId="15" applyNumberFormat="1" applyFont="1" applyBorder="1" applyAlignment="1">
      <alignment horizontal="right" vertical="center" wrapText="1"/>
    </xf>
    <xf numFmtId="167" fontId="0" fillId="0" borderId="39" xfId="15" applyNumberFormat="1" applyFont="1" applyBorder="1" applyAlignment="1">
      <alignment horizontal="right" vertical="center" wrapText="1"/>
    </xf>
    <xf numFmtId="41" fontId="0" fillId="0" borderId="53" xfId="15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 wrapText="1"/>
    </xf>
    <xf numFmtId="170" fontId="21" fillId="0" borderId="9" xfId="0" applyNumberFormat="1" applyFont="1" applyBorder="1" applyAlignment="1">
      <alignment horizontal="right" vertical="center" wrapText="1"/>
    </xf>
    <xf numFmtId="0" fontId="5" fillId="0" borderId="5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0" fillId="0" borderId="57" xfId="0" applyFont="1" applyBorder="1" applyAlignment="1">
      <alignment vertical="center" wrapText="1"/>
    </xf>
    <xf numFmtId="3" fontId="0" fillId="0" borderId="58" xfId="0" applyNumberFormat="1" applyFont="1" applyBorder="1" applyAlignment="1">
      <alignment vertical="center" wrapText="1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170" fontId="20" fillId="2" borderId="37" xfId="0" applyNumberFormat="1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left" vertical="center" wrapText="1"/>
    </xf>
    <xf numFmtId="170" fontId="7" fillId="2" borderId="37" xfId="0" applyNumberFormat="1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/>
    </xf>
    <xf numFmtId="167" fontId="0" fillId="0" borderId="7" xfId="15" applyNumberFormat="1" applyFont="1" applyFill="1" applyBorder="1" applyAlignment="1">
      <alignment horizontal="right" vertical="center" wrapText="1"/>
    </xf>
    <xf numFmtId="167" fontId="0" fillId="0" borderId="31" xfId="1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167" fontId="0" fillId="0" borderId="30" xfId="15" applyNumberFormat="1" applyFont="1" applyFill="1" applyBorder="1" applyAlignment="1">
      <alignment horizontal="right" vertical="center" wrapText="1"/>
    </xf>
    <xf numFmtId="0" fontId="0" fillId="0" borderId="29" xfId="19" applyFont="1" applyFill="1" applyBorder="1" applyAlignment="1">
      <alignment horizontal="center"/>
      <protection/>
    </xf>
    <xf numFmtId="0" fontId="0" fillId="0" borderId="30" xfId="19" applyFont="1" applyFill="1" applyBorder="1" applyAlignment="1">
      <alignment horizontal="center"/>
      <protection/>
    </xf>
    <xf numFmtId="167" fontId="0" fillId="0" borderId="7" xfId="19" applyNumberFormat="1" applyFont="1" applyFill="1" applyBorder="1" applyAlignment="1">
      <alignment horizontal="right" vertical="center" wrapText="1"/>
      <protection/>
    </xf>
    <xf numFmtId="41" fontId="0" fillId="0" borderId="32" xfId="15" applyNumberFormat="1" applyFont="1" applyFill="1" applyBorder="1" applyAlignment="1">
      <alignment horizontal="right" vertical="center" wrapText="1"/>
    </xf>
    <xf numFmtId="3" fontId="0" fillId="0" borderId="31" xfId="19" applyNumberFormat="1" applyFont="1" applyFill="1" applyBorder="1" applyAlignment="1">
      <alignment horizontal="right"/>
      <protection/>
    </xf>
    <xf numFmtId="167" fontId="0" fillId="0" borderId="44" xfId="15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Alignment="1">
      <alignment/>
    </xf>
    <xf numFmtId="3" fontId="4" fillId="0" borderId="25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 vertical="center"/>
    </xf>
    <xf numFmtId="3" fontId="10" fillId="0" borderId="27" xfId="15" applyNumberFormat="1" applyFont="1" applyBorder="1" applyAlignment="1">
      <alignment horizontal="right" vertical="center" wrapText="1"/>
    </xf>
    <xf numFmtId="41" fontId="10" fillId="0" borderId="47" xfId="15" applyNumberFormat="1" applyFont="1" applyBorder="1" applyAlignment="1">
      <alignment horizontal="right" vertical="center" wrapText="1"/>
    </xf>
    <xf numFmtId="167" fontId="0" fillId="0" borderId="61" xfId="15" applyNumberFormat="1" applyFont="1" applyBorder="1" applyAlignment="1">
      <alignment horizontal="right" vertical="center" wrapText="1"/>
    </xf>
    <xf numFmtId="41" fontId="0" fillId="0" borderId="48" xfId="19" applyNumberFormat="1" applyFont="1" applyBorder="1" applyAlignment="1">
      <alignment horizontal="right" vertical="center" wrapText="1"/>
      <protection/>
    </xf>
    <xf numFmtId="41" fontId="0" fillId="0" borderId="20" xfId="19" applyNumberFormat="1" applyFont="1" applyBorder="1" applyAlignment="1">
      <alignment horizontal="right" vertical="center" wrapText="1"/>
      <protection/>
    </xf>
    <xf numFmtId="3" fontId="0" fillId="0" borderId="16" xfId="15" applyNumberFormat="1" applyFont="1" applyBorder="1" applyAlignment="1">
      <alignment horizontal="right" vertical="center" wrapText="1"/>
    </xf>
    <xf numFmtId="41" fontId="0" fillId="0" borderId="58" xfId="15" applyNumberFormat="1" applyFont="1" applyBorder="1" applyAlignment="1">
      <alignment horizontal="right" vertical="center" wrapText="1"/>
    </xf>
    <xf numFmtId="3" fontId="10" fillId="0" borderId="44" xfId="19" applyNumberFormat="1" applyFont="1" applyBorder="1" applyAlignment="1">
      <alignment horizontal="right"/>
      <protection/>
    </xf>
    <xf numFmtId="167" fontId="0" fillId="0" borderId="29" xfId="15" applyNumberFormat="1" applyFont="1" applyBorder="1" applyAlignment="1">
      <alignment horizontal="right" vertical="center" wrapText="1"/>
    </xf>
    <xf numFmtId="41" fontId="0" fillId="0" borderId="31" xfId="19" applyNumberFormat="1" applyFont="1" applyBorder="1" applyAlignment="1">
      <alignment horizontal="right" vertical="center" wrapText="1"/>
      <protection/>
    </xf>
    <xf numFmtId="41" fontId="0" fillId="0" borderId="59" xfId="19" applyNumberFormat="1" applyFont="1" applyBorder="1" applyAlignment="1">
      <alignment horizontal="right" vertical="center" wrapText="1"/>
      <protection/>
    </xf>
    <xf numFmtId="41" fontId="0" fillId="0" borderId="7" xfId="19" applyNumberFormat="1" applyFont="1" applyBorder="1" applyAlignment="1">
      <alignment horizontal="right" vertical="center" wrapText="1"/>
      <protection/>
    </xf>
    <xf numFmtId="41" fontId="0" fillId="0" borderId="16" xfId="19" applyNumberFormat="1" applyFont="1" applyBorder="1" applyAlignment="1">
      <alignment horizontal="right" vertical="center" wrapText="1"/>
      <protection/>
    </xf>
    <xf numFmtId="167" fontId="0" fillId="0" borderId="62" xfId="15" applyNumberFormat="1" applyFont="1" applyBorder="1" applyAlignment="1">
      <alignment horizontal="right" vertical="center" wrapText="1"/>
    </xf>
    <xf numFmtId="167" fontId="0" fillId="0" borderId="33" xfId="15" applyNumberFormat="1" applyFont="1" applyBorder="1" applyAlignment="1">
      <alignment horizontal="right" vertical="center" wrapText="1"/>
    </xf>
    <xf numFmtId="3" fontId="10" fillId="0" borderId="28" xfId="19" applyNumberFormat="1" applyFont="1" applyBorder="1" applyAlignment="1">
      <alignment horizontal="right"/>
      <protection/>
    </xf>
    <xf numFmtId="41" fontId="0" fillId="0" borderId="29" xfId="19" applyNumberFormat="1" applyFont="1" applyBorder="1" applyAlignment="1">
      <alignment horizontal="right" vertical="center" wrapText="1"/>
      <protection/>
    </xf>
    <xf numFmtId="41" fontId="0" fillId="0" borderId="49" xfId="19" applyNumberFormat="1" applyFont="1" applyBorder="1" applyAlignment="1">
      <alignment horizontal="right" vertical="center" wrapText="1"/>
      <protection/>
    </xf>
    <xf numFmtId="41" fontId="0" fillId="0" borderId="43" xfId="19" applyNumberFormat="1" applyFont="1" applyBorder="1" applyAlignment="1">
      <alignment horizontal="right" vertical="center" wrapText="1"/>
      <protection/>
    </xf>
    <xf numFmtId="41" fontId="0" fillId="0" borderId="33" xfId="19" applyNumberFormat="1" applyFont="1" applyBorder="1" applyAlignment="1">
      <alignment horizontal="right" vertical="center" wrapText="1"/>
      <protection/>
    </xf>
    <xf numFmtId="41" fontId="0" fillId="0" borderId="0" xfId="19" applyNumberFormat="1" applyFont="1" applyBorder="1" applyAlignment="1">
      <alignment horizontal="right" vertical="center" wrapText="1"/>
      <protection/>
    </xf>
    <xf numFmtId="167" fontId="0" fillId="0" borderId="54" xfId="15" applyNumberFormat="1" applyFont="1" applyBorder="1" applyAlignment="1">
      <alignment horizontal="right" vertical="center" wrapText="1"/>
    </xf>
    <xf numFmtId="167" fontId="10" fillId="0" borderId="63" xfId="15" applyNumberFormat="1" applyFont="1" applyFill="1" applyBorder="1" applyAlignment="1">
      <alignment horizontal="right" vertical="center" wrapText="1"/>
    </xf>
    <xf numFmtId="3" fontId="0" fillId="0" borderId="25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3" fontId="0" fillId="0" borderId="65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/>
    </xf>
    <xf numFmtId="3" fontId="10" fillId="0" borderId="23" xfId="19" applyNumberFormat="1" applyFont="1" applyBorder="1" applyAlignment="1">
      <alignment horizontal="right" vertical="center" wrapText="1"/>
      <protection/>
    </xf>
    <xf numFmtId="3" fontId="10" fillId="0" borderId="32" xfId="19" applyNumberFormat="1" applyFont="1" applyBorder="1" applyAlignment="1">
      <alignment horizontal="right" vertical="center" wrapText="1"/>
      <protection/>
    </xf>
    <xf numFmtId="3" fontId="10" fillId="0" borderId="17" xfId="19" applyNumberFormat="1" applyFont="1" applyBorder="1" applyAlignment="1">
      <alignment horizontal="right" vertical="center" wrapText="1"/>
      <protection/>
    </xf>
    <xf numFmtId="3" fontId="10" fillId="0" borderId="66" xfId="19" applyNumberFormat="1" applyFont="1" applyBorder="1" applyAlignment="1">
      <alignment horizontal="right" vertical="center" wrapText="1"/>
      <protection/>
    </xf>
    <xf numFmtId="3" fontId="10" fillId="0" borderId="53" xfId="19" applyNumberFormat="1" applyFont="1" applyBorder="1" applyAlignment="1">
      <alignment horizontal="right" vertical="center" wrapText="1"/>
      <protection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3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4" fillId="0" borderId="53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Continuous"/>
    </xf>
    <xf numFmtId="0" fontId="1" fillId="0" borderId="4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23" fillId="0" borderId="0" xfId="0" applyFont="1" applyAlignment="1">
      <alignment/>
    </xf>
    <xf numFmtId="0" fontId="5" fillId="0" borderId="5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12" fillId="0" borderId="0" xfId="19" applyFont="1" applyAlignment="1">
      <alignment horizontal="right"/>
      <protection/>
    </xf>
    <xf numFmtId="167" fontId="0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66" xfId="0" applyFont="1" applyBorder="1" applyAlignment="1">
      <alignment/>
    </xf>
    <xf numFmtId="0" fontId="1" fillId="0" borderId="69" xfId="0" applyFont="1" applyBorder="1" applyAlignment="1">
      <alignment/>
    </xf>
    <xf numFmtId="0" fontId="7" fillId="0" borderId="0" xfId="0" applyFont="1" applyAlignment="1">
      <alignment/>
    </xf>
    <xf numFmtId="49" fontId="4" fillId="0" borderId="6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0" xfId="0" applyFont="1" applyBorder="1" applyAlignment="1">
      <alignment horizontal="center"/>
    </xf>
    <xf numFmtId="49" fontId="4" fillId="0" borderId="6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4" borderId="44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167" fontId="4" fillId="0" borderId="8" xfId="15" applyNumberFormat="1" applyFont="1" applyFill="1" applyBorder="1" applyAlignment="1">
      <alignment horizontal="right" vertical="center" wrapText="1"/>
    </xf>
    <xf numFmtId="167" fontId="4" fillId="0" borderId="41" xfId="15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/>
    </xf>
    <xf numFmtId="0" fontId="10" fillId="2" borderId="39" xfId="19" applyFont="1" applyFill="1" applyBorder="1" applyAlignment="1">
      <alignment horizontal="center" vertical="center" wrapText="1"/>
      <protection/>
    </xf>
    <xf numFmtId="0" fontId="10" fillId="2" borderId="27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167" fontId="0" fillId="0" borderId="0" xfId="15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7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7" fillId="0" borderId="39" xfId="0" applyNumberFormat="1" applyFont="1" applyBorder="1" applyAlignment="1">
      <alignment vertical="center"/>
    </xf>
    <xf numFmtId="0" fontId="5" fillId="0" borderId="50" xfId="18" applyFont="1" applyBorder="1" applyAlignment="1">
      <alignment vertical="center" wrapText="1"/>
      <protection/>
    </xf>
    <xf numFmtId="0" fontId="5" fillId="0" borderId="23" xfId="18" applyFont="1" applyBorder="1" applyAlignment="1">
      <alignment vertical="center" wrapText="1"/>
      <protection/>
    </xf>
    <xf numFmtId="0" fontId="5" fillId="0" borderId="5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vertical="center" wrapText="1"/>
    </xf>
    <xf numFmtId="3" fontId="7" fillId="2" borderId="73" xfId="0" applyNumberFormat="1" applyFont="1" applyFill="1" applyBorder="1" applyAlignment="1">
      <alignment vertical="center" wrapText="1"/>
    </xf>
    <xf numFmtId="0" fontId="5" fillId="2" borderId="45" xfId="18" applyFont="1" applyFill="1" applyBorder="1" applyAlignment="1">
      <alignment vertical="center" wrapText="1"/>
      <protection/>
    </xf>
    <xf numFmtId="0" fontId="5" fillId="2" borderId="43" xfId="18" applyFont="1" applyFill="1" applyBorder="1" applyAlignment="1">
      <alignment vertical="center" wrapText="1"/>
      <protection/>
    </xf>
    <xf numFmtId="3" fontId="7" fillId="2" borderId="55" xfId="0" applyNumberFormat="1" applyFont="1" applyFill="1" applyBorder="1" applyAlignment="1">
      <alignment vertical="center" wrapText="1"/>
    </xf>
    <xf numFmtId="0" fontId="0" fillId="2" borderId="5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/>
    </xf>
    <xf numFmtId="3" fontId="1" fillId="2" borderId="3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17" xfId="0" applyFont="1" applyFill="1" applyBorder="1" applyAlignment="1">
      <alignment horizontal="center" vertical="center" wrapText="1"/>
    </xf>
    <xf numFmtId="0" fontId="10" fillId="2" borderId="74" xfId="19" applyFont="1" applyFill="1" applyBorder="1" applyAlignment="1">
      <alignment horizontal="center" vertical="center" wrapText="1"/>
      <protection/>
    </xf>
    <xf numFmtId="0" fontId="10" fillId="2" borderId="73" xfId="19" applyFont="1" applyFill="1" applyBorder="1" applyAlignment="1">
      <alignment horizontal="center" vertical="center" wrapText="1"/>
      <protection/>
    </xf>
    <xf numFmtId="0" fontId="10" fillId="2" borderId="56" xfId="19" applyFont="1" applyFill="1" applyBorder="1" applyAlignment="1">
      <alignment horizontal="center" vertical="center" wrapText="1"/>
      <protection/>
    </xf>
    <xf numFmtId="0" fontId="10" fillId="2" borderId="46" xfId="19" applyFont="1" applyFill="1" applyBorder="1" applyAlignment="1">
      <alignment horizontal="left" vertical="center" wrapText="1"/>
      <protection/>
    </xf>
    <xf numFmtId="167" fontId="10" fillId="2" borderId="27" xfId="19" applyNumberFormat="1" applyFont="1" applyFill="1" applyBorder="1" applyAlignment="1">
      <alignment horizontal="right" vertical="center" wrapText="1"/>
      <protection/>
    </xf>
    <xf numFmtId="0" fontId="10" fillId="2" borderId="6" xfId="0" applyFont="1" applyFill="1" applyBorder="1" applyAlignment="1">
      <alignment horizontal="center" vertical="center" wrapText="1"/>
    </xf>
    <xf numFmtId="0" fontId="0" fillId="2" borderId="1" xfId="19" applyFont="1" applyFill="1" applyBorder="1" applyAlignment="1">
      <alignment horizontal="center" vertical="top" wrapText="1"/>
      <protection/>
    </xf>
    <xf numFmtId="3" fontId="10" fillId="2" borderId="29" xfId="19" applyNumberFormat="1" applyFont="1" applyFill="1" applyBorder="1" applyAlignment="1">
      <alignment horizontal="right" vertical="center" wrapText="1"/>
      <protection/>
    </xf>
    <xf numFmtId="167" fontId="10" fillId="2" borderId="17" xfId="19" applyNumberFormat="1" applyFont="1" applyFill="1" applyBorder="1" applyAlignment="1">
      <alignment horizontal="right" vertical="center" wrapText="1"/>
      <protection/>
    </xf>
    <xf numFmtId="167" fontId="10" fillId="2" borderId="31" xfId="19" applyNumberFormat="1" applyFont="1" applyFill="1" applyBorder="1" applyAlignment="1">
      <alignment horizontal="right" vertical="center" wrapText="1"/>
      <protection/>
    </xf>
    <xf numFmtId="167" fontId="10" fillId="2" borderId="7" xfId="19" applyNumberFormat="1" applyFont="1" applyFill="1" applyBorder="1" applyAlignment="1">
      <alignment horizontal="right" vertical="center" wrapText="1"/>
      <protection/>
    </xf>
    <xf numFmtId="167" fontId="10" fillId="2" borderId="23" xfId="19" applyNumberFormat="1" applyFont="1" applyFill="1" applyBorder="1" applyAlignment="1">
      <alignment horizontal="right" vertical="center" wrapText="1"/>
      <protection/>
    </xf>
    <xf numFmtId="167" fontId="10" fillId="2" borderId="48" xfId="19" applyNumberFormat="1" applyFont="1" applyFill="1" applyBorder="1" applyAlignment="1">
      <alignment horizontal="right" vertical="center" wrapText="1"/>
      <protection/>
    </xf>
    <xf numFmtId="167" fontId="10" fillId="2" borderId="32" xfId="19" applyNumberFormat="1" applyFont="1" applyFill="1" applyBorder="1" applyAlignment="1">
      <alignment horizontal="right" vertical="center" wrapText="1"/>
      <protection/>
    </xf>
    <xf numFmtId="167" fontId="10" fillId="2" borderId="44" xfId="19" applyNumberFormat="1" applyFont="1" applyFill="1" applyBorder="1" applyAlignment="1">
      <alignment horizontal="right" vertical="center" wrapText="1"/>
      <protection/>
    </xf>
    <xf numFmtId="167" fontId="10" fillId="2" borderId="66" xfId="19" applyNumberFormat="1" applyFont="1" applyFill="1" applyBorder="1" applyAlignment="1">
      <alignment horizontal="right" vertical="center" wrapText="1"/>
      <protection/>
    </xf>
    <xf numFmtId="167" fontId="10" fillId="2" borderId="50" xfId="19" applyNumberFormat="1" applyFont="1" applyFill="1" applyBorder="1" applyAlignment="1">
      <alignment horizontal="right" vertical="center" wrapText="1"/>
      <protection/>
    </xf>
    <xf numFmtId="167" fontId="10" fillId="2" borderId="6" xfId="19" applyNumberFormat="1" applyFont="1" applyFill="1" applyBorder="1" applyAlignment="1">
      <alignment horizontal="right" vertical="center" wrapText="1"/>
      <protection/>
    </xf>
    <xf numFmtId="167" fontId="10" fillId="2" borderId="10" xfId="19" applyNumberFormat="1" applyFont="1" applyFill="1" applyBorder="1" applyAlignment="1">
      <alignment horizontal="right" vertical="center" wrapText="1"/>
      <protection/>
    </xf>
    <xf numFmtId="41" fontId="10" fillId="2" borderId="53" xfId="19" applyNumberFormat="1" applyFont="1" applyFill="1" applyBorder="1" applyAlignment="1">
      <alignment horizontal="right" vertical="center" wrapText="1"/>
      <protection/>
    </xf>
    <xf numFmtId="0" fontId="10" fillId="2" borderId="1" xfId="19" applyFont="1" applyFill="1" applyBorder="1" applyAlignment="1">
      <alignment horizontal="center" vertical="center" wrapText="1"/>
      <protection/>
    </xf>
    <xf numFmtId="167" fontId="10" fillId="2" borderId="56" xfId="19" applyNumberFormat="1" applyFont="1" applyFill="1" applyBorder="1" applyAlignment="1">
      <alignment horizontal="right" vertical="center" wrapText="1"/>
      <protection/>
    </xf>
    <xf numFmtId="167" fontId="10" fillId="2" borderId="53" xfId="19" applyNumberFormat="1" applyFont="1" applyFill="1" applyBorder="1" applyAlignment="1">
      <alignment horizontal="right" vertical="center" wrapText="1"/>
      <protection/>
    </xf>
    <xf numFmtId="0" fontId="10" fillId="2" borderId="6" xfId="19" applyFont="1" applyFill="1" applyBorder="1">
      <alignment/>
      <protection/>
    </xf>
    <xf numFmtId="0" fontId="10" fillId="2" borderId="56" xfId="19" applyFont="1" applyFill="1" applyBorder="1" applyAlignment="1">
      <alignment horizontal="center"/>
      <protection/>
    </xf>
    <xf numFmtId="0" fontId="10" fillId="2" borderId="39" xfId="19" applyFont="1" applyFill="1" applyBorder="1" applyAlignment="1">
      <alignment horizontal="center"/>
      <protection/>
    </xf>
    <xf numFmtId="3" fontId="10" fillId="2" borderId="17" xfId="19" applyNumberFormat="1" applyFont="1" applyFill="1" applyBorder="1" applyAlignment="1">
      <alignment horizontal="right" vertical="center" wrapText="1"/>
      <protection/>
    </xf>
    <xf numFmtId="3" fontId="10" fillId="2" borderId="7" xfId="19" applyNumberFormat="1" applyFont="1" applyFill="1" applyBorder="1" applyAlignment="1">
      <alignment horizontal="right" vertical="center" wrapText="1"/>
      <protection/>
    </xf>
    <xf numFmtId="41" fontId="10" fillId="2" borderId="32" xfId="19" applyNumberFormat="1" applyFont="1" applyFill="1" applyBorder="1" applyAlignment="1">
      <alignment horizontal="right" vertical="center" wrapText="1"/>
      <protection/>
    </xf>
    <xf numFmtId="0" fontId="10" fillId="2" borderId="75" xfId="19" applyFont="1" applyFill="1" applyBorder="1" applyAlignment="1">
      <alignment horizontal="left" vertical="top"/>
      <protection/>
    </xf>
    <xf numFmtId="0" fontId="10" fillId="2" borderId="74" xfId="19" applyFont="1" applyFill="1" applyBorder="1" applyAlignment="1">
      <alignment horizontal="center"/>
      <protection/>
    </xf>
    <xf numFmtId="0" fontId="10" fillId="2" borderId="26" xfId="19" applyFont="1" applyFill="1" applyBorder="1" applyAlignment="1">
      <alignment horizontal="center" vertical="top" wrapText="1"/>
      <protection/>
    </xf>
    <xf numFmtId="0" fontId="10" fillId="2" borderId="2" xfId="19" applyFont="1" applyFill="1" applyBorder="1" applyAlignment="1">
      <alignment horizontal="center" vertical="top"/>
      <protection/>
    </xf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55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3" fontId="8" fillId="2" borderId="75" xfId="0" applyNumberFormat="1" applyFont="1" applyFill="1" applyBorder="1" applyAlignment="1">
      <alignment horizontal="center"/>
    </xf>
    <xf numFmtId="167" fontId="1" fillId="0" borderId="39" xfId="15" applyNumberFormat="1" applyFont="1" applyBorder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18" xfId="19" applyFont="1" applyFill="1" applyBorder="1" applyAlignment="1">
      <alignment horizontal="center" vertical="center" wrapText="1"/>
      <protection/>
    </xf>
    <xf numFmtId="0" fontId="8" fillId="2" borderId="35" xfId="19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centerContinuous"/>
    </xf>
    <xf numFmtId="0" fontId="0" fillId="2" borderId="49" xfId="0" applyFont="1" applyFill="1" applyBorder="1" applyAlignment="1">
      <alignment horizontal="centerContinuous"/>
    </xf>
    <xf numFmtId="0" fontId="0" fillId="2" borderId="76" xfId="0" applyFont="1" applyFill="1" applyBorder="1" applyAlignment="1">
      <alignment horizontal="centerContinuous"/>
    </xf>
    <xf numFmtId="0" fontId="0" fillId="2" borderId="41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3" fontId="1" fillId="2" borderId="55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9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10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3" fontId="10" fillId="0" borderId="6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4" fillId="0" borderId="68" xfId="0" applyFont="1" applyBorder="1" applyAlignment="1">
      <alignment vertical="center" wrapText="1"/>
    </xf>
    <xf numFmtId="167" fontId="0" fillId="0" borderId="0" xfId="0" applyNumberFormat="1" applyFont="1" applyAlignment="1">
      <alignment/>
    </xf>
    <xf numFmtId="0" fontId="4" fillId="0" borderId="7" xfId="0" applyFont="1" applyBorder="1" applyAlignment="1">
      <alignment vertical="center"/>
    </xf>
    <xf numFmtId="41" fontId="10" fillId="0" borderId="78" xfId="15" applyNumberFormat="1" applyFont="1" applyBorder="1" applyAlignment="1">
      <alignment horizontal="right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right" vertical="center" wrapText="1"/>
    </xf>
    <xf numFmtId="167" fontId="0" fillId="0" borderId="7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30" xfId="0" applyNumberFormat="1" applyFont="1" applyBorder="1" applyAlignment="1">
      <alignment horizontal="right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0" fontId="0" fillId="0" borderId="50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3" fontId="5" fillId="0" borderId="41" xfId="0" applyNumberFormat="1" applyFont="1" applyBorder="1" applyAlignment="1">
      <alignment vertical="center" wrapText="1"/>
    </xf>
    <xf numFmtId="0" fontId="20" fillId="2" borderId="62" xfId="0" applyFont="1" applyFill="1" applyBorder="1" applyAlignment="1">
      <alignment horizontal="left" vertical="center" wrapText="1"/>
    </xf>
    <xf numFmtId="3" fontId="7" fillId="2" borderId="55" xfId="0" applyNumberFormat="1" applyFont="1" applyFill="1" applyBorder="1" applyAlignment="1">
      <alignment vertical="center" wrapText="1"/>
    </xf>
    <xf numFmtId="3" fontId="0" fillId="0" borderId="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71" xfId="0" applyFont="1" applyBorder="1" applyAlignment="1">
      <alignment horizontal="center"/>
    </xf>
    <xf numFmtId="3" fontId="0" fillId="0" borderId="79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0" xfId="0" applyFont="1" applyBorder="1" applyAlignment="1">
      <alignment/>
    </xf>
    <xf numFmtId="0" fontId="17" fillId="0" borderId="0" xfId="0" applyFont="1" applyAlignment="1">
      <alignment horizontal="right" vertical="center"/>
    </xf>
    <xf numFmtId="3" fontId="0" fillId="0" borderId="55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8" fillId="2" borderId="73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52" xfId="0" applyFont="1" applyBorder="1" applyAlignment="1">
      <alignment/>
    </xf>
    <xf numFmtId="0" fontId="0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3" fontId="8" fillId="0" borderId="9" xfId="0" applyNumberFormat="1" applyFont="1" applyBorder="1" applyAlignment="1">
      <alignment horizontal="center"/>
    </xf>
    <xf numFmtId="0" fontId="0" fillId="0" borderId="79" xfId="0" applyFont="1" applyBorder="1" applyAlignment="1">
      <alignment/>
    </xf>
    <xf numFmtId="167" fontId="27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8" fillId="5" borderId="26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vertical="center" wrapText="1"/>
    </xf>
    <xf numFmtId="167" fontId="4" fillId="4" borderId="7" xfId="15" applyNumberFormat="1" applyFont="1" applyFill="1" applyBorder="1" applyAlignment="1">
      <alignment horizontal="right" vertical="center" wrapText="1"/>
    </xf>
    <xf numFmtId="167" fontId="4" fillId="4" borderId="7" xfId="15" applyNumberFormat="1" applyFont="1" applyFill="1" applyBorder="1" applyAlignment="1">
      <alignment horizontal="left" vertical="center" wrapText="1"/>
    </xf>
    <xf numFmtId="167" fontId="1" fillId="4" borderId="27" xfId="15" applyNumberFormat="1" applyFont="1" applyFill="1" applyBorder="1" applyAlignment="1">
      <alignment horizontal="left" vertical="center" wrapText="1"/>
    </xf>
    <xf numFmtId="167" fontId="4" fillId="4" borderId="30" xfId="15" applyNumberFormat="1" applyFont="1" applyFill="1" applyBorder="1" applyAlignment="1">
      <alignment horizontal="right" vertical="center" wrapText="1"/>
    </xf>
    <xf numFmtId="167" fontId="4" fillId="0" borderId="8" xfId="15" applyNumberFormat="1" applyFont="1" applyFill="1" applyBorder="1" applyAlignment="1">
      <alignment horizontal="left" vertical="center" wrapText="1"/>
    </xf>
    <xf numFmtId="167" fontId="1" fillId="4" borderId="27" xfId="15" applyNumberFormat="1" applyFont="1" applyFill="1" applyBorder="1" applyAlignment="1">
      <alignment horizontal="right" vertical="center" wrapText="1"/>
    </xf>
    <xf numFmtId="167" fontId="1" fillId="4" borderId="73" xfId="1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67" fontId="1" fillId="4" borderId="0" xfId="15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right" vertical="center" wrapText="1"/>
    </xf>
    <xf numFmtId="167" fontId="0" fillId="0" borderId="8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41" xfId="0" applyNumberFormat="1" applyFont="1" applyBorder="1" applyAlignment="1">
      <alignment horizontal="right" vertical="center" wrapText="1"/>
    </xf>
    <xf numFmtId="167" fontId="4" fillId="0" borderId="80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3" fontId="7" fillId="0" borderId="37" xfId="0" applyNumberFormat="1" applyFont="1" applyFill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167" fontId="1" fillId="4" borderId="27" xfId="15" applyNumberFormat="1" applyFont="1" applyFill="1" applyBorder="1" applyAlignment="1">
      <alignment horizontal="right" vertical="center" wrapText="1"/>
    </xf>
    <xf numFmtId="167" fontId="4" fillId="4" borderId="7" xfId="15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167" fontId="1" fillId="4" borderId="30" xfId="15" applyNumberFormat="1" applyFont="1" applyFill="1" applyBorder="1" applyAlignment="1">
      <alignment horizontal="right" vertical="center" wrapText="1"/>
    </xf>
    <xf numFmtId="167" fontId="1" fillId="4" borderId="41" xfId="15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7" fontId="10" fillId="0" borderId="73" xfId="19" applyNumberFormat="1" applyFont="1" applyBorder="1" applyAlignment="1">
      <alignment horizontal="right" vertical="center" wrapText="1"/>
      <protection/>
    </xf>
    <xf numFmtId="41" fontId="0" fillId="0" borderId="29" xfId="19" applyNumberFormat="1" applyFont="1" applyFill="1" applyBorder="1" applyAlignment="1">
      <alignment horizontal="right" vertical="center" wrapText="1"/>
      <protection/>
    </xf>
    <xf numFmtId="41" fontId="0" fillId="0" borderId="4" xfId="19" applyNumberFormat="1" applyFont="1" applyBorder="1" applyAlignment="1">
      <alignment horizontal="right" vertical="center" wrapText="1"/>
      <protection/>
    </xf>
    <xf numFmtId="167" fontId="10" fillId="0" borderId="42" xfId="15" applyNumberFormat="1" applyFont="1" applyBorder="1" applyAlignment="1">
      <alignment horizontal="right" vertical="center" wrapText="1"/>
    </xf>
    <xf numFmtId="0" fontId="9" fillId="2" borderId="36" xfId="19" applyFont="1" applyFill="1" applyBorder="1" applyAlignment="1">
      <alignment horizontal="center" vertical="center" wrapText="1"/>
      <protection/>
    </xf>
    <xf numFmtId="0" fontId="9" fillId="2" borderId="24" xfId="19" applyFont="1" applyFill="1" applyBorder="1" applyAlignment="1">
      <alignment horizontal="center" vertical="center" wrapText="1"/>
      <protection/>
    </xf>
    <xf numFmtId="0" fontId="9" fillId="2" borderId="37" xfId="19" applyFont="1" applyFill="1" applyBorder="1" applyAlignment="1">
      <alignment horizontal="center" vertical="center" wrapText="1"/>
      <protection/>
    </xf>
    <xf numFmtId="0" fontId="9" fillId="2" borderId="38" xfId="19" applyFont="1" applyFill="1" applyBorder="1" applyAlignment="1">
      <alignment horizontal="center" vertical="center" wrapText="1"/>
      <protection/>
    </xf>
    <xf numFmtId="0" fontId="9" fillId="2" borderId="22" xfId="19" applyFont="1" applyFill="1" applyBorder="1" applyAlignment="1">
      <alignment horizontal="center" vertical="center" wrapText="1"/>
      <protection/>
    </xf>
    <xf numFmtId="0" fontId="9" fillId="2" borderId="63" xfId="19" applyFont="1" applyFill="1" applyBorder="1" applyAlignment="1">
      <alignment horizontal="center" vertical="center" wrapText="1"/>
      <protection/>
    </xf>
    <xf numFmtId="0" fontId="9" fillId="2" borderId="77" xfId="19" applyFont="1" applyFill="1" applyBorder="1" applyAlignment="1">
      <alignment horizontal="center" vertical="center" wrapText="1"/>
      <protection/>
    </xf>
    <xf numFmtId="0" fontId="9" fillId="2" borderId="78" xfId="19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60" xfId="0" applyFont="1" applyBorder="1" applyAlignment="1">
      <alignment horizontal="centerContinuous"/>
    </xf>
    <xf numFmtId="3" fontId="4" fillId="0" borderId="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Continuous"/>
    </xf>
    <xf numFmtId="3" fontId="4" fillId="0" borderId="9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52" xfId="0" applyFont="1" applyBorder="1" applyAlignment="1">
      <alignment horizontal="centerContinuous"/>
    </xf>
    <xf numFmtId="3" fontId="4" fillId="0" borderId="17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4" fillId="0" borderId="66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4" fillId="0" borderId="4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62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/>
    </xf>
    <xf numFmtId="0" fontId="4" fillId="0" borderId="17" xfId="0" applyFont="1" applyBorder="1" applyAlignment="1">
      <alignment wrapText="1"/>
    </xf>
    <xf numFmtId="3" fontId="4" fillId="0" borderId="23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8" fillId="2" borderId="4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72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/>
    </xf>
    <xf numFmtId="0" fontId="8" fillId="2" borderId="75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" fontId="4" fillId="0" borderId="76" xfId="0" applyNumberFormat="1" applyFont="1" applyBorder="1" applyAlignment="1">
      <alignment horizontal="right"/>
    </xf>
    <xf numFmtId="3" fontId="4" fillId="0" borderId="6" xfId="15" applyNumberFormat="1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Continuous"/>
    </xf>
    <xf numFmtId="3" fontId="4" fillId="0" borderId="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25" xfId="0" applyFont="1" applyBorder="1" applyAlignment="1">
      <alignment/>
    </xf>
    <xf numFmtId="3" fontId="4" fillId="0" borderId="50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/>
    </xf>
    <xf numFmtId="3" fontId="4" fillId="0" borderId="8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83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3" fontId="11" fillId="0" borderId="35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8" fillId="2" borderId="76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57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/>
    </xf>
    <xf numFmtId="0" fontId="6" fillId="0" borderId="65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65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3" fontId="4" fillId="0" borderId="50" xfId="0" applyNumberFormat="1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58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23" fillId="0" borderId="1" xfId="0" applyFont="1" applyBorder="1" applyAlignment="1">
      <alignment/>
    </xf>
    <xf numFmtId="0" fontId="8" fillId="5" borderId="64" xfId="0" applyFont="1" applyFill="1" applyBorder="1" applyAlignment="1">
      <alignment horizontal="center" wrapText="1"/>
    </xf>
    <xf numFmtId="0" fontId="8" fillId="5" borderId="65" xfId="0" applyFont="1" applyFill="1" applyBorder="1" applyAlignment="1">
      <alignment horizont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18" xfId="19" applyFont="1" applyFill="1" applyBorder="1" applyAlignment="1">
      <alignment horizontal="center" vertical="center" wrapText="1"/>
      <protection/>
    </xf>
    <xf numFmtId="0" fontId="8" fillId="2" borderId="62" xfId="19" applyFont="1" applyFill="1" applyBorder="1" applyAlignment="1">
      <alignment horizontal="center" vertical="center" wrapText="1"/>
      <protection/>
    </xf>
    <xf numFmtId="0" fontId="8" fillId="2" borderId="5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8" fillId="2" borderId="62" xfId="19" applyFont="1" applyFill="1" applyBorder="1" applyAlignment="1">
      <alignment horizontal="center" vertical="center" wrapText="1"/>
      <protection/>
    </xf>
    <xf numFmtId="0" fontId="8" fillId="2" borderId="84" xfId="19" applyFont="1" applyFill="1" applyBorder="1" applyAlignment="1">
      <alignment horizontal="center" vertical="center" wrapText="1"/>
      <protection/>
    </xf>
    <xf numFmtId="0" fontId="10" fillId="2" borderId="7" xfId="19" applyFont="1" applyFill="1" applyBorder="1" applyAlignment="1">
      <alignment horizontal="center" vertical="center" wrapText="1"/>
      <protection/>
    </xf>
    <xf numFmtId="0" fontId="10" fillId="2" borderId="30" xfId="19" applyFont="1" applyFill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5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19" xfId="0" applyFont="1" applyBorder="1" applyAlignment="1">
      <alignment/>
    </xf>
    <xf numFmtId="43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67" fontId="8" fillId="0" borderId="0" xfId="15" applyNumberFormat="1" applyFont="1" applyBorder="1" applyAlignment="1">
      <alignment/>
    </xf>
    <xf numFmtId="3" fontId="0" fillId="6" borderId="0" xfId="0" applyNumberFormat="1" applyFont="1" applyFill="1" applyAlignment="1">
      <alignment horizontal="right"/>
    </xf>
    <xf numFmtId="3" fontId="0" fillId="6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0" fillId="0" borderId="40" xfId="0" applyFont="1" applyBorder="1" applyAlignment="1">
      <alignment/>
    </xf>
    <xf numFmtId="0" fontId="8" fillId="0" borderId="9" xfId="0" applyFont="1" applyBorder="1" applyAlignment="1">
      <alignment/>
    </xf>
    <xf numFmtId="0" fontId="8" fillId="2" borderId="49" xfId="0" applyFont="1" applyFill="1" applyBorder="1" applyAlignment="1">
      <alignment horizontal="center"/>
    </xf>
    <xf numFmtId="0" fontId="8" fillId="2" borderId="76" xfId="0" applyFont="1" applyFill="1" applyBorder="1" applyAlignment="1">
      <alignment horizontal="centerContinuous"/>
    </xf>
    <xf numFmtId="0" fontId="8" fillId="2" borderId="76" xfId="0" applyFont="1" applyFill="1" applyBorder="1" applyAlignment="1">
      <alignment horizontal="center"/>
    </xf>
    <xf numFmtId="0" fontId="10" fillId="2" borderId="16" xfId="19" applyFont="1" applyFill="1" applyBorder="1" applyAlignment="1">
      <alignment horizontal="center" vertical="center" wrapText="1"/>
      <protection/>
    </xf>
    <xf numFmtId="0" fontId="10" fillId="2" borderId="17" xfId="19" applyFont="1" applyFill="1" applyBorder="1" applyAlignment="1">
      <alignment horizontal="center" vertical="center" wrapText="1"/>
      <protection/>
    </xf>
    <xf numFmtId="3" fontId="0" fillId="0" borderId="23" xfId="15" applyNumberFormat="1" applyFont="1" applyBorder="1" applyAlignment="1">
      <alignment horizontal="right" vertical="center" wrapText="1"/>
    </xf>
    <xf numFmtId="3" fontId="0" fillId="0" borderId="76" xfId="15" applyNumberFormat="1" applyFont="1" applyBorder="1" applyAlignment="1">
      <alignment horizontal="right" vertical="center" wrapText="1"/>
    </xf>
    <xf numFmtId="167" fontId="10" fillId="0" borderId="56" xfId="19" applyNumberFormat="1" applyFont="1" applyBorder="1" applyAlignment="1">
      <alignment horizontal="right" vertical="center" wrapText="1"/>
      <protection/>
    </xf>
    <xf numFmtId="167" fontId="10" fillId="0" borderId="17" xfId="19" applyNumberFormat="1" applyFont="1" applyBorder="1" applyAlignment="1">
      <alignment horizontal="right" vertical="center" wrapText="1"/>
      <protection/>
    </xf>
    <xf numFmtId="167" fontId="10" fillId="0" borderId="66" xfId="19" applyNumberFormat="1" applyFont="1" applyBorder="1" applyAlignment="1">
      <alignment horizontal="right" vertical="center" wrapText="1"/>
      <protection/>
    </xf>
    <xf numFmtId="167" fontId="10" fillId="0" borderId="75" xfId="19" applyNumberFormat="1" applyFont="1" applyBorder="1" applyAlignment="1">
      <alignment horizontal="right" vertical="center" wrapText="1"/>
      <protection/>
    </xf>
    <xf numFmtId="41" fontId="10" fillId="0" borderId="53" xfId="15" applyNumberFormat="1" applyFont="1" applyBorder="1" applyAlignment="1">
      <alignment horizontal="right" vertical="center" wrapText="1"/>
    </xf>
    <xf numFmtId="3" fontId="0" fillId="0" borderId="6" xfId="15" applyNumberFormat="1" applyFont="1" applyBorder="1" applyAlignment="1">
      <alignment horizontal="right" vertical="center" wrapText="1"/>
    </xf>
    <xf numFmtId="3" fontId="0" fillId="0" borderId="17" xfId="15" applyNumberFormat="1" applyFont="1" applyBorder="1" applyAlignment="1">
      <alignment horizontal="right" vertical="center" wrapText="1"/>
    </xf>
    <xf numFmtId="3" fontId="0" fillId="0" borderId="13" xfId="15" applyNumberFormat="1" applyFont="1" applyBorder="1" applyAlignment="1">
      <alignment horizontal="right" vertical="center" wrapText="1"/>
    </xf>
    <xf numFmtId="3" fontId="10" fillId="0" borderId="23" xfId="19" applyNumberFormat="1" applyFont="1" applyBorder="1" applyAlignment="1">
      <alignment horizontal="right"/>
      <protection/>
    </xf>
    <xf numFmtId="3" fontId="0" fillId="0" borderId="3" xfId="15" applyNumberFormat="1" applyFont="1" applyBorder="1" applyAlignment="1">
      <alignment horizontal="right" vertical="center" wrapText="1"/>
    </xf>
    <xf numFmtId="3" fontId="10" fillId="0" borderId="75" xfId="19" applyNumberFormat="1" applyFont="1" applyBorder="1" applyAlignment="1">
      <alignment horizontal="right"/>
      <protection/>
    </xf>
    <xf numFmtId="167" fontId="0" fillId="0" borderId="23" xfId="15" applyNumberFormat="1" applyFont="1" applyFill="1" applyBorder="1" applyAlignment="1">
      <alignment horizontal="right" vertical="center" wrapText="1"/>
    </xf>
    <xf numFmtId="3" fontId="10" fillId="0" borderId="29" xfId="19" applyNumberFormat="1" applyFont="1" applyBorder="1" applyAlignment="1">
      <alignment horizontal="right"/>
      <protection/>
    </xf>
    <xf numFmtId="3" fontId="10" fillId="0" borderId="6" xfId="19" applyNumberFormat="1" applyFont="1" applyBorder="1" applyAlignment="1">
      <alignment horizontal="right" vertical="center" wrapText="1"/>
      <protection/>
    </xf>
    <xf numFmtId="167" fontId="0" fillId="0" borderId="76" xfId="15" applyNumberFormat="1" applyFont="1" applyBorder="1" applyAlignment="1">
      <alignment horizontal="right" vertical="center" wrapText="1"/>
    </xf>
    <xf numFmtId="167" fontId="0" fillId="0" borderId="24" xfId="15" applyNumberFormat="1" applyFont="1" applyBorder="1" applyAlignment="1">
      <alignment horizontal="right" vertical="center" wrapText="1"/>
    </xf>
    <xf numFmtId="167" fontId="0" fillId="0" borderId="22" xfId="15" applyNumberFormat="1" applyFont="1" applyBorder="1" applyAlignment="1">
      <alignment horizontal="right" vertical="center" wrapText="1"/>
    </xf>
    <xf numFmtId="167" fontId="22" fillId="0" borderId="0" xfId="19" applyNumberFormat="1" applyFont="1">
      <alignment/>
      <protection/>
    </xf>
    <xf numFmtId="167" fontId="8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70" fontId="0" fillId="0" borderId="2" xfId="23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167" fontId="0" fillId="0" borderId="0" xfId="15" applyNumberFormat="1" applyFont="1" applyAlignment="1">
      <alignment/>
    </xf>
    <xf numFmtId="167" fontId="22" fillId="7" borderId="0" xfId="19" applyNumberFormat="1" applyFont="1" applyFill="1">
      <alignment/>
      <protection/>
    </xf>
    <xf numFmtId="0" fontId="22" fillId="0" borderId="0" xfId="0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right" wrapText="1"/>
    </xf>
    <xf numFmtId="167" fontId="1" fillId="0" borderId="27" xfId="0" applyNumberFormat="1" applyFont="1" applyBorder="1" applyAlignment="1">
      <alignment horizontal="right" wrapText="1"/>
    </xf>
    <xf numFmtId="167" fontId="1" fillId="0" borderId="83" xfId="0" applyNumberFormat="1" applyFont="1" applyBorder="1" applyAlignment="1">
      <alignment horizontal="right" wrapText="1"/>
    </xf>
    <xf numFmtId="167" fontId="1" fillId="4" borderId="23" xfId="15" applyNumberFormat="1" applyFont="1" applyFill="1" applyBorder="1" applyAlignment="1">
      <alignment horizontal="right" vertical="center" wrapText="1"/>
    </xf>
    <xf numFmtId="167" fontId="1" fillId="4" borderId="76" xfId="15" applyNumberFormat="1" applyFont="1" applyFill="1" applyBorder="1" applyAlignment="1">
      <alignment horizontal="right" vertical="center" wrapText="1"/>
    </xf>
    <xf numFmtId="167" fontId="22" fillId="0" borderId="0" xfId="0" applyNumberFormat="1" applyFont="1" applyAlignment="1">
      <alignment/>
    </xf>
    <xf numFmtId="167" fontId="29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9" fontId="22" fillId="0" borderId="0" xfId="22" applyFont="1" applyAlignment="1">
      <alignment/>
    </xf>
    <xf numFmtId="167" fontId="22" fillId="4" borderId="0" xfId="15" applyNumberFormat="1" applyFont="1" applyFill="1" applyBorder="1" applyAlignment="1">
      <alignment horizontal="right" vertical="center" wrapText="1"/>
    </xf>
    <xf numFmtId="167" fontId="22" fillId="0" borderId="0" xfId="15" applyNumberFormat="1" applyFont="1" applyAlignment="1">
      <alignment horizontal="right" vertical="center" wrapText="1"/>
    </xf>
    <xf numFmtId="0" fontId="22" fillId="0" borderId="0" xfId="0" applyFont="1" applyFill="1" applyAlignment="1">
      <alignment/>
    </xf>
    <xf numFmtId="0" fontId="10" fillId="0" borderId="60" xfId="19" applyFont="1" applyBorder="1">
      <alignment/>
      <protection/>
    </xf>
    <xf numFmtId="0" fontId="10" fillId="0" borderId="39" xfId="19" applyFont="1" applyBorder="1" applyAlignment="1">
      <alignment vertical="center"/>
      <protection/>
    </xf>
    <xf numFmtId="0" fontId="10" fillId="0" borderId="9" xfId="19" applyFont="1" applyBorder="1" applyAlignment="1">
      <alignment vertical="center"/>
      <protection/>
    </xf>
    <xf numFmtId="0" fontId="10" fillId="0" borderId="52" xfId="19" applyFont="1" applyBorder="1" applyAlignment="1">
      <alignment horizontal="left" vertical="top"/>
      <protection/>
    </xf>
    <xf numFmtId="0" fontId="10" fillId="0" borderId="39" xfId="19" applyFont="1" applyBorder="1" applyAlignment="1">
      <alignment vertical="top"/>
      <protection/>
    </xf>
    <xf numFmtId="0" fontId="10" fillId="0" borderId="9" xfId="19" applyFont="1" applyBorder="1" applyAlignment="1">
      <alignment vertical="top"/>
      <protection/>
    </xf>
    <xf numFmtId="0" fontId="10" fillId="0" borderId="55" xfId="19" applyFont="1" applyBorder="1" applyAlignment="1">
      <alignment vertical="top"/>
      <protection/>
    </xf>
    <xf numFmtId="0" fontId="10" fillId="0" borderId="52" xfId="19" applyFont="1" applyBorder="1">
      <alignment/>
      <protection/>
    </xf>
    <xf numFmtId="0" fontId="10" fillId="0" borderId="39" xfId="19" applyFont="1" applyBorder="1" applyAlignment="1">
      <alignment horizontal="left"/>
      <protection/>
    </xf>
    <xf numFmtId="0" fontId="0" fillId="0" borderId="9" xfId="19" applyFont="1" applyBorder="1" applyAlignment="1">
      <alignment horizontal="left"/>
      <protection/>
    </xf>
    <xf numFmtId="0" fontId="0" fillId="0" borderId="39" xfId="19" applyFont="1" applyBorder="1" applyAlignment="1">
      <alignment horizontal="left"/>
      <protection/>
    </xf>
    <xf numFmtId="0" fontId="10" fillId="0" borderId="39" xfId="19" applyFont="1" applyBorder="1" applyAlignment="1">
      <alignment/>
      <protection/>
    </xf>
    <xf numFmtId="0" fontId="0" fillId="0" borderId="9" xfId="19" applyFont="1" applyBorder="1" applyAlignment="1">
      <alignment/>
      <protection/>
    </xf>
    <xf numFmtId="0" fontId="0" fillId="0" borderId="39" xfId="19" applyFont="1" applyBorder="1" applyAlignment="1">
      <alignment/>
      <protection/>
    </xf>
    <xf numFmtId="0" fontId="10" fillId="0" borderId="9" xfId="19" applyFont="1" applyBorder="1" applyAlignment="1">
      <alignment horizontal="left"/>
      <protection/>
    </xf>
    <xf numFmtId="0" fontId="10" fillId="0" borderId="55" xfId="19" applyFont="1" applyBorder="1" applyAlignment="1">
      <alignment horizontal="left"/>
      <protection/>
    </xf>
    <xf numFmtId="167" fontId="10" fillId="2" borderId="1" xfId="19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8" fillId="2" borderId="18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67" fontId="4" fillId="0" borderId="30" xfId="15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67" fontId="4" fillId="0" borderId="41" xfId="15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7" fontId="10" fillId="0" borderId="0" xfId="0" applyNumberFormat="1" applyFont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top" wrapText="1"/>
    </xf>
    <xf numFmtId="0" fontId="0" fillId="0" borderId="56" xfId="0" applyFont="1" applyBorder="1" applyAlignment="1">
      <alignment vertical="top" wrapText="1"/>
    </xf>
    <xf numFmtId="0" fontId="10" fillId="0" borderId="51" xfId="0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3" fontId="4" fillId="0" borderId="1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167" fontId="1" fillId="4" borderId="17" xfId="15" applyNumberFormat="1" applyFont="1" applyFill="1" applyBorder="1" applyAlignment="1">
      <alignment horizontal="left" vertical="center" wrapText="1"/>
    </xf>
    <xf numFmtId="167" fontId="1" fillId="4" borderId="17" xfId="15" applyNumberFormat="1" applyFont="1" applyFill="1" applyBorder="1" applyAlignment="1">
      <alignment horizontal="right" vertical="center" wrapText="1"/>
    </xf>
    <xf numFmtId="167" fontId="1" fillId="4" borderId="17" xfId="15" applyNumberFormat="1" applyFont="1" applyFill="1" applyBorder="1" applyAlignment="1">
      <alignment horizontal="right" vertical="center" wrapText="1"/>
    </xf>
    <xf numFmtId="167" fontId="1" fillId="4" borderId="39" xfId="15" applyNumberFormat="1" applyFont="1" applyFill="1" applyBorder="1" applyAlignment="1">
      <alignment horizontal="right" vertical="center" wrapText="1"/>
    </xf>
    <xf numFmtId="10" fontId="0" fillId="0" borderId="0" xfId="22" applyNumberFormat="1" applyFont="1" applyAlignment="1">
      <alignment/>
    </xf>
    <xf numFmtId="9" fontId="0" fillId="0" borderId="0" xfId="22" applyNumberFormat="1" applyFont="1" applyAlignment="1">
      <alignment/>
    </xf>
    <xf numFmtId="167" fontId="0" fillId="4" borderId="0" xfId="15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167" fontId="4" fillId="0" borderId="8" xfId="15" applyNumberFormat="1" applyFont="1" applyFill="1" applyBorder="1" applyAlignment="1">
      <alignment horizontal="right" vertical="center" wrapText="1"/>
    </xf>
    <xf numFmtId="9" fontId="0" fillId="0" borderId="0" xfId="0" applyNumberFormat="1" applyFont="1" applyAlignment="1">
      <alignment/>
    </xf>
    <xf numFmtId="167" fontId="4" fillId="4" borderId="23" xfId="15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3" fontId="4" fillId="0" borderId="72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 wrapText="1"/>
    </xf>
    <xf numFmtId="3" fontId="4" fillId="0" borderId="76" xfId="15" applyNumberFormat="1" applyFont="1" applyBorder="1" applyAlignment="1">
      <alignment horizontal="right" wrapText="1"/>
    </xf>
    <xf numFmtId="3" fontId="4" fillId="0" borderId="8" xfId="0" applyNumberFormat="1" applyFont="1" applyFill="1" applyBorder="1" applyAlignment="1">
      <alignment/>
    </xf>
    <xf numFmtId="0" fontId="4" fillId="0" borderId="72" xfId="0" applyFont="1" applyFill="1" applyBorder="1" applyAlignment="1">
      <alignment vertical="center" wrapText="1"/>
    </xf>
    <xf numFmtId="3" fontId="4" fillId="0" borderId="82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/>
    </xf>
    <xf numFmtId="0" fontId="4" fillId="0" borderId="8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3" fontId="4" fillId="0" borderId="87" xfId="0" applyNumberFormat="1" applyFont="1" applyFill="1" applyBorder="1" applyAlignment="1">
      <alignment/>
    </xf>
    <xf numFmtId="0" fontId="4" fillId="0" borderId="8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7" xfId="0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71" xfId="0" applyFont="1" applyFill="1" applyBorder="1" applyAlignment="1">
      <alignment horizontal="center"/>
    </xf>
    <xf numFmtId="3" fontId="4" fillId="0" borderId="82" xfId="0" applyNumberFormat="1" applyFont="1" applyFill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0" fontId="0" fillId="0" borderId="6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3" fontId="4" fillId="0" borderId="5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5" fillId="0" borderId="73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18" applyFont="1" applyBorder="1" applyAlignment="1">
      <alignment vertical="center" wrapText="1"/>
      <protection/>
    </xf>
    <xf numFmtId="0" fontId="7" fillId="5" borderId="13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8" borderId="65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/>
    </xf>
    <xf numFmtId="3" fontId="7" fillId="2" borderId="88" xfId="0" applyNumberFormat="1" applyFont="1" applyFill="1" applyBorder="1" applyAlignment="1">
      <alignment horizontal="right" vertical="center" wrapText="1"/>
    </xf>
    <xf numFmtId="3" fontId="7" fillId="2" borderId="88" xfId="0" applyNumberFormat="1" applyFont="1" applyFill="1" applyBorder="1" applyAlignment="1">
      <alignment horizontal="right" vertical="center" wrapText="1"/>
    </xf>
    <xf numFmtId="0" fontId="5" fillId="2" borderId="89" xfId="0" applyFont="1" applyFill="1" applyBorder="1" applyAlignment="1">
      <alignment/>
    </xf>
    <xf numFmtId="0" fontId="5" fillId="4" borderId="65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right" vertical="center" wrapText="1"/>
    </xf>
    <xf numFmtId="3" fontId="5" fillId="4" borderId="65" xfId="0" applyNumberFormat="1" applyFont="1" applyFill="1" applyBorder="1" applyAlignment="1">
      <alignment horizontal="center" vertical="center" wrapText="1"/>
    </xf>
    <xf numFmtId="3" fontId="5" fillId="4" borderId="65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33" fillId="4" borderId="11" xfId="0" applyFont="1" applyFill="1" applyBorder="1" applyAlignment="1">
      <alignment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3" fontId="34" fillId="4" borderId="2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/>
    </xf>
    <xf numFmtId="3" fontId="7" fillId="5" borderId="90" xfId="0" applyNumberFormat="1" applyFont="1" applyFill="1" applyBorder="1" applyAlignment="1">
      <alignment horizontal="right" vertical="center" wrapText="1"/>
    </xf>
    <xf numFmtId="0" fontId="7" fillId="2" borderId="89" xfId="0" applyFont="1" applyFill="1" applyBorder="1" applyAlignment="1">
      <alignment/>
    </xf>
    <xf numFmtId="0" fontId="7" fillId="0" borderId="65" xfId="0" applyFont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65" xfId="0" applyNumberFormat="1" applyFont="1" applyFill="1" applyBorder="1" applyAlignment="1">
      <alignment horizontal="right" vertical="center" wrapText="1"/>
    </xf>
    <xf numFmtId="3" fontId="7" fillId="0" borderId="6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/>
    </xf>
    <xf numFmtId="0" fontId="33" fillId="0" borderId="11" xfId="0" applyFont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34" fillId="0" borderId="2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3" fillId="4" borderId="65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0" fontId="5" fillId="0" borderId="60" xfId="0" applyFont="1" applyBorder="1" applyAlignment="1">
      <alignment/>
    </xf>
    <xf numFmtId="3" fontId="34" fillId="4" borderId="11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9" fontId="5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9" fontId="5" fillId="0" borderId="55" xfId="0" applyNumberFormat="1" applyFont="1" applyBorder="1" applyAlignment="1">
      <alignment horizontal="center"/>
    </xf>
    <xf numFmtId="0" fontId="5" fillId="4" borderId="6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3" fontId="7" fillId="5" borderId="91" xfId="0" applyNumberFormat="1" applyFont="1" applyFill="1" applyBorder="1" applyAlignment="1">
      <alignment horizontal="right" vertical="center" wrapText="1"/>
    </xf>
    <xf numFmtId="0" fontId="7" fillId="0" borderId="65" xfId="18" applyFont="1" applyBorder="1" applyAlignment="1">
      <alignment vertical="center" wrapText="1"/>
      <protection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3" fontId="34" fillId="4" borderId="11" xfId="0" applyNumberFormat="1" applyFont="1" applyFill="1" applyBorder="1" applyAlignment="1">
      <alignment vertical="center" wrapText="1"/>
    </xf>
    <xf numFmtId="3" fontId="5" fillId="4" borderId="11" xfId="0" applyNumberFormat="1" applyFont="1" applyFill="1" applyBorder="1" applyAlignment="1">
      <alignment vertical="center" wrapText="1"/>
    </xf>
    <xf numFmtId="3" fontId="5" fillId="4" borderId="11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vertical="center" wrapText="1"/>
    </xf>
    <xf numFmtId="3" fontId="5" fillId="4" borderId="40" xfId="0" applyNumberFormat="1" applyFont="1" applyFill="1" applyBorder="1" applyAlignment="1">
      <alignment vertical="center" wrapText="1"/>
    </xf>
    <xf numFmtId="3" fontId="5" fillId="4" borderId="40" xfId="0" applyNumberFormat="1" applyFont="1" applyFill="1" applyBorder="1" applyAlignment="1">
      <alignment vertical="center"/>
    </xf>
    <xf numFmtId="3" fontId="5" fillId="4" borderId="40" xfId="0" applyNumberFormat="1" applyFont="1" applyFill="1" applyBorder="1" applyAlignment="1">
      <alignment horizontal="right" vertical="center"/>
    </xf>
    <xf numFmtId="3" fontId="5" fillId="4" borderId="85" xfId="0" applyNumberFormat="1" applyFont="1" applyFill="1" applyBorder="1" applyAlignment="1">
      <alignment horizontal="center" vertical="center"/>
    </xf>
    <xf numFmtId="3" fontId="7" fillId="5" borderId="88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60" xfId="0" applyFont="1" applyBorder="1" applyAlignment="1">
      <alignment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0" fontId="7" fillId="5" borderId="76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3" fontId="21" fillId="4" borderId="19" xfId="0" applyNumberFormat="1" applyFont="1" applyFill="1" applyBorder="1" applyAlignment="1">
      <alignment horizontal="center" vertical="center"/>
    </xf>
    <xf numFmtId="3" fontId="34" fillId="4" borderId="11" xfId="0" applyNumberFormat="1" applyFont="1" applyFill="1" applyBorder="1" applyAlignment="1">
      <alignment horizontal="right" vertical="center" wrapText="1"/>
    </xf>
    <xf numFmtId="3" fontId="33" fillId="4" borderId="11" xfId="0" applyNumberFormat="1" applyFont="1" applyFill="1" applyBorder="1" applyAlignment="1">
      <alignment horizontal="right" vertical="center"/>
    </xf>
    <xf numFmtId="3" fontId="33" fillId="4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vertical="center" wrapText="1"/>
    </xf>
    <xf numFmtId="3" fontId="21" fillId="4" borderId="3" xfId="0" applyNumberFormat="1" applyFont="1" applyFill="1" applyBorder="1" applyAlignment="1">
      <alignment horizontal="right" vertical="center"/>
    </xf>
    <xf numFmtId="3" fontId="35" fillId="4" borderId="2" xfId="0" applyNumberFormat="1" applyFont="1" applyFill="1" applyBorder="1" applyAlignment="1">
      <alignment horizontal="right" vertical="center"/>
    </xf>
    <xf numFmtId="3" fontId="21" fillId="4" borderId="2" xfId="0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3" fontId="21" fillId="4" borderId="2" xfId="0" applyNumberFormat="1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21" fillId="4" borderId="19" xfId="0" applyNumberFormat="1" applyFont="1" applyFill="1" applyBorder="1" applyAlignment="1">
      <alignment horizontal="right" vertical="center"/>
    </xf>
    <xf numFmtId="3" fontId="5" fillId="4" borderId="65" xfId="0" applyNumberFormat="1" applyFont="1" applyFill="1" applyBorder="1" applyAlignment="1">
      <alignment horizontal="right" vertical="center" wrapText="1"/>
    </xf>
    <xf numFmtId="3" fontId="5" fillId="4" borderId="65" xfId="0" applyNumberFormat="1" applyFont="1" applyFill="1" applyBorder="1" applyAlignment="1">
      <alignment horizontal="right" vertical="center"/>
    </xf>
    <xf numFmtId="3" fontId="5" fillId="4" borderId="12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3" fontId="5" fillId="4" borderId="65" xfId="0" applyNumberFormat="1" applyFont="1" applyFill="1" applyBorder="1" applyAlignment="1">
      <alignment horizontal="right" vertical="center" wrapText="1"/>
    </xf>
    <xf numFmtId="0" fontId="5" fillId="0" borderId="55" xfId="0" applyFont="1" applyBorder="1" applyAlignment="1">
      <alignment/>
    </xf>
    <xf numFmtId="3" fontId="7" fillId="5" borderId="92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8" borderId="93" xfId="0" applyFont="1" applyFill="1" applyBorder="1" applyAlignment="1">
      <alignment horizontal="center" vertical="center" wrapText="1"/>
    </xf>
    <xf numFmtId="0" fontId="5" fillId="8" borderId="94" xfId="0" applyFont="1" applyFill="1" applyBorder="1" applyAlignment="1">
      <alignment horizontal="center" vertical="center" wrapText="1"/>
    </xf>
    <xf numFmtId="0" fontId="5" fillId="8" borderId="95" xfId="0" applyFont="1" applyFill="1" applyBorder="1" applyAlignment="1">
      <alignment horizontal="center" vertical="center" wrapText="1"/>
    </xf>
    <xf numFmtId="0" fontId="5" fillId="8" borderId="95" xfId="0" applyFont="1" applyFill="1" applyBorder="1" applyAlignment="1">
      <alignment horizontal="center" vertical="center" wrapText="1"/>
    </xf>
    <xf numFmtId="0" fontId="5" fillId="8" borderId="96" xfId="0" applyFont="1" applyFill="1" applyBorder="1" applyAlignment="1">
      <alignment horizontal="center" vertical="center" wrapText="1"/>
    </xf>
    <xf numFmtId="0" fontId="5" fillId="0" borderId="97" xfId="0" applyFont="1" applyBorder="1" applyAlignment="1">
      <alignment horizontal="center"/>
    </xf>
    <xf numFmtId="3" fontId="7" fillId="5" borderId="92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3" fontId="7" fillId="5" borderId="90" xfId="0" applyNumberFormat="1" applyFont="1" applyFill="1" applyBorder="1" applyAlignment="1">
      <alignment horizontal="right" vertical="center" wrapText="1"/>
    </xf>
    <xf numFmtId="0" fontId="5" fillId="2" borderId="98" xfId="0" applyFont="1" applyFill="1" applyBorder="1" applyAlignment="1">
      <alignment/>
    </xf>
    <xf numFmtId="0" fontId="5" fillId="0" borderId="6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/>
    </xf>
    <xf numFmtId="0" fontId="5" fillId="0" borderId="40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vertical="center" wrapText="1"/>
    </xf>
    <xf numFmtId="3" fontId="5" fillId="0" borderId="40" xfId="0" applyNumberFormat="1" applyFont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/>
    </xf>
    <xf numFmtId="3" fontId="5" fillId="4" borderId="0" xfId="0" applyNumberFormat="1" applyFont="1" applyFill="1" applyBorder="1" applyAlignment="1">
      <alignment horizontal="right" vertical="center" wrapText="1"/>
    </xf>
    <xf numFmtId="3" fontId="33" fillId="4" borderId="11" xfId="0" applyNumberFormat="1" applyFont="1" applyFill="1" applyBorder="1" applyAlignment="1">
      <alignment horizontal="right" vertical="center" wrapText="1"/>
    </xf>
    <xf numFmtId="3" fontId="33" fillId="4" borderId="0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/>
    </xf>
    <xf numFmtId="3" fontId="5" fillId="4" borderId="40" xfId="0" applyNumberFormat="1" applyFont="1" applyFill="1" applyBorder="1" applyAlignment="1">
      <alignment horizontal="right" vertical="center" wrapText="1"/>
    </xf>
    <xf numFmtId="3" fontId="5" fillId="4" borderId="85" xfId="0" applyNumberFormat="1" applyFont="1" applyFill="1" applyBorder="1" applyAlignment="1">
      <alignment horizontal="right" vertical="center" wrapText="1"/>
    </xf>
    <xf numFmtId="9" fontId="5" fillId="0" borderId="79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3" fontId="36" fillId="2" borderId="11" xfId="0" applyNumberFormat="1" applyFont="1" applyFill="1" applyBorder="1" applyAlignment="1">
      <alignment vertical="center" wrapText="1"/>
    </xf>
    <xf numFmtId="3" fontId="34" fillId="2" borderId="11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3" fontId="37" fillId="2" borderId="11" xfId="0" applyNumberFormat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3" fontId="37" fillId="2" borderId="18" xfId="0" applyNumberFormat="1" applyFont="1" applyFill="1" applyBorder="1" applyAlignment="1">
      <alignment vertical="center" wrapText="1"/>
    </xf>
    <xf numFmtId="3" fontId="7" fillId="2" borderId="18" xfId="0" applyNumberFormat="1" applyFont="1" applyFill="1" applyBorder="1" applyAlignment="1">
      <alignment vertical="center" wrapText="1"/>
    </xf>
    <xf numFmtId="3" fontId="5" fillId="2" borderId="55" xfId="0" applyNumberFormat="1" applyFont="1" applyFill="1" applyBorder="1" applyAlignment="1">
      <alignment/>
    </xf>
    <xf numFmtId="0" fontId="4" fillId="0" borderId="0" xfId="20" applyFont="1">
      <alignment/>
      <protection/>
    </xf>
    <xf numFmtId="0" fontId="4" fillId="4" borderId="0" xfId="20" applyFont="1" applyFill="1" applyAlignment="1">
      <alignment horizontal="center" wrapText="1"/>
      <protection/>
    </xf>
    <xf numFmtId="0" fontId="4" fillId="4" borderId="0" xfId="20" applyFont="1" applyFill="1" applyAlignment="1">
      <alignment vertical="center" wrapText="1"/>
      <protection/>
    </xf>
    <xf numFmtId="0" fontId="4" fillId="4" borderId="0" xfId="20" applyFont="1" applyFill="1" applyAlignment="1">
      <alignment horizontal="center" vertical="center" wrapText="1"/>
      <protection/>
    </xf>
    <xf numFmtId="3" fontId="4" fillId="4" borderId="0" xfId="20" applyNumberFormat="1" applyFont="1" applyFill="1" applyAlignment="1">
      <alignment horizontal="center" vertical="center" wrapText="1"/>
      <protection/>
    </xf>
    <xf numFmtId="0" fontId="4" fillId="4" borderId="0" xfId="20" applyFont="1" applyFill="1" applyAlignment="1">
      <alignment vertical="center"/>
      <protection/>
    </xf>
    <xf numFmtId="0" fontId="4" fillId="4" borderId="0" xfId="20" applyFont="1" applyFill="1" applyAlignment="1">
      <alignment horizontal="center" vertical="center"/>
      <protection/>
    </xf>
    <xf numFmtId="0" fontId="4" fillId="4" borderId="0" xfId="20" applyFont="1" applyFill="1">
      <alignment/>
      <protection/>
    </xf>
    <xf numFmtId="3" fontId="4" fillId="0" borderId="0" xfId="20" applyNumberFormat="1" applyFont="1">
      <alignment/>
      <protection/>
    </xf>
    <xf numFmtId="167" fontId="1" fillId="4" borderId="28" xfId="15" applyNumberFormat="1" applyFont="1" applyFill="1" applyBorder="1" applyAlignment="1">
      <alignment horizontal="left" vertical="center" wrapText="1"/>
    </xf>
    <xf numFmtId="167" fontId="1" fillId="4" borderId="44" xfId="15" applyNumberFormat="1" applyFont="1" applyFill="1" applyBorder="1" applyAlignment="1">
      <alignment horizontal="left" vertical="center" wrapText="1"/>
    </xf>
    <xf numFmtId="167" fontId="1" fillId="0" borderId="61" xfId="15" applyNumberFormat="1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/>
    </xf>
    <xf numFmtId="0" fontId="8" fillId="2" borderId="8" xfId="19" applyFont="1" applyFill="1" applyBorder="1" applyAlignment="1">
      <alignment horizontal="center" vertical="center" wrapText="1"/>
      <protection/>
    </xf>
    <xf numFmtId="167" fontId="10" fillId="2" borderId="29" xfId="19" applyNumberFormat="1" applyFont="1" applyFill="1" applyBorder="1" applyAlignment="1">
      <alignment horizontal="right" vertical="center" wrapText="1"/>
      <protection/>
    </xf>
    <xf numFmtId="3" fontId="10" fillId="2" borderId="6" xfId="19" applyNumberFormat="1" applyFont="1" applyFill="1" applyBorder="1" applyAlignment="1">
      <alignment horizontal="right" vertical="center" wrapText="1"/>
      <protection/>
    </xf>
    <xf numFmtId="3" fontId="10" fillId="2" borderId="56" xfId="19" applyNumberFormat="1" applyFont="1" applyFill="1" applyBorder="1" applyAlignment="1">
      <alignment horizontal="right" vertical="center" wrapText="1"/>
      <protection/>
    </xf>
    <xf numFmtId="3" fontId="10" fillId="0" borderId="29" xfId="19" applyNumberFormat="1" applyFont="1" applyBorder="1" applyAlignment="1">
      <alignment horizontal="right" vertical="center" wrapText="1"/>
      <protection/>
    </xf>
    <xf numFmtId="0" fontId="4" fillId="0" borderId="40" xfId="0" applyFont="1" applyFill="1" applyBorder="1" applyAlignment="1">
      <alignment horizontal="center" vertical="center"/>
    </xf>
    <xf numFmtId="3" fontId="4" fillId="0" borderId="99" xfId="0" applyNumberFormat="1" applyFont="1" applyFill="1" applyBorder="1" applyAlignment="1">
      <alignment/>
    </xf>
    <xf numFmtId="0" fontId="23" fillId="0" borderId="1" xfId="0" applyFont="1" applyBorder="1" applyAlignment="1">
      <alignment wrapText="1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/>
    </xf>
    <xf numFmtId="3" fontId="5" fillId="4" borderId="2" xfId="0" applyNumberFormat="1" applyFont="1" applyFill="1" applyBorder="1" applyAlignment="1">
      <alignment horizontal="right" vertical="center" wrapText="1"/>
    </xf>
    <xf numFmtId="167" fontId="0" fillId="0" borderId="0" xfId="19" applyNumberFormat="1" applyFont="1" applyAlignment="1">
      <alignment horizontal="right"/>
      <protection/>
    </xf>
    <xf numFmtId="3" fontId="0" fillId="0" borderId="0" xfId="19" applyNumberFormat="1" applyFont="1">
      <alignment/>
      <protection/>
    </xf>
    <xf numFmtId="0" fontId="0" fillId="0" borderId="77" xfId="19" applyFont="1" applyBorder="1" applyAlignment="1">
      <alignment horizontal="center" vertical="top" wrapText="1"/>
      <protection/>
    </xf>
    <xf numFmtId="0" fontId="10" fillId="0" borderId="77" xfId="19" applyFont="1" applyBorder="1" applyAlignment="1">
      <alignment horizontal="left" vertical="center" wrapText="1"/>
      <protection/>
    </xf>
    <xf numFmtId="0" fontId="10" fillId="0" borderId="36" xfId="19" applyFont="1" applyBorder="1" applyAlignment="1">
      <alignment horizontal="center" vertical="center" wrapText="1"/>
      <protection/>
    </xf>
    <xf numFmtId="0" fontId="10" fillId="0" borderId="37" xfId="19" applyFont="1" applyBorder="1" applyAlignment="1">
      <alignment horizontal="center" vertical="center" wrapText="1"/>
      <protection/>
    </xf>
    <xf numFmtId="3" fontId="10" fillId="0" borderId="77" xfId="19" applyNumberFormat="1" applyFont="1" applyBorder="1" applyAlignment="1">
      <alignment horizontal="right" vertical="center" wrapText="1"/>
      <protection/>
    </xf>
    <xf numFmtId="167" fontId="10" fillId="0" borderId="63" xfId="15" applyNumberFormat="1" applyFont="1" applyBorder="1" applyAlignment="1">
      <alignment horizontal="right" vertical="center" wrapText="1"/>
    </xf>
    <xf numFmtId="167" fontId="10" fillId="0" borderId="24" xfId="15" applyNumberFormat="1" applyFont="1" applyBorder="1" applyAlignment="1">
      <alignment horizontal="right" vertical="center" wrapText="1"/>
    </xf>
    <xf numFmtId="167" fontId="10" fillId="0" borderId="77" xfId="15" applyNumberFormat="1" applyFont="1" applyBorder="1" applyAlignment="1">
      <alignment horizontal="right" vertical="center" wrapText="1"/>
    </xf>
    <xf numFmtId="3" fontId="10" fillId="0" borderId="24" xfId="15" applyNumberFormat="1" applyFont="1" applyBorder="1" applyAlignment="1">
      <alignment horizontal="right" vertical="center" wrapText="1"/>
    </xf>
    <xf numFmtId="3" fontId="10" fillId="0" borderId="22" xfId="15" applyNumberFormat="1" applyFont="1" applyBorder="1" applyAlignment="1">
      <alignment horizontal="right" vertical="center" wrapText="1"/>
    </xf>
    <xf numFmtId="3" fontId="10" fillId="2" borderId="48" xfId="19" applyNumberFormat="1" applyFont="1" applyFill="1" applyBorder="1" applyAlignment="1">
      <alignment horizontal="right" vertical="center" wrapText="1"/>
      <protection/>
    </xf>
    <xf numFmtId="167" fontId="10" fillId="2" borderId="75" xfId="19" applyNumberFormat="1" applyFont="1" applyFill="1" applyBorder="1" applyAlignment="1">
      <alignment horizontal="right" vertical="center" wrapText="1"/>
      <protection/>
    </xf>
    <xf numFmtId="167" fontId="10" fillId="2" borderId="74" xfId="19" applyNumberFormat="1" applyFont="1" applyFill="1" applyBorder="1" applyAlignment="1">
      <alignment horizontal="right" vertical="center" wrapText="1"/>
      <protection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7" fontId="4" fillId="4" borderId="30" xfId="15" applyNumberFormat="1" applyFont="1" applyFill="1" applyBorder="1" applyAlignment="1">
      <alignment horizontal="right" vertical="center" wrapText="1"/>
    </xf>
    <xf numFmtId="167" fontId="4" fillId="0" borderId="41" xfId="15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20" applyNumberFormat="1" applyFont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31" fillId="0" borderId="0" xfId="20" applyFont="1" applyAlignment="1">
      <alignment horizontal="center" vertical="center"/>
      <protection/>
    </xf>
    <xf numFmtId="0" fontId="4" fillId="0" borderId="42" xfId="0" applyFont="1" applyBorder="1" applyAlignment="1">
      <alignment horizontal="center"/>
    </xf>
    <xf numFmtId="49" fontId="4" fillId="0" borderId="62" xfId="0" applyNumberFormat="1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2" borderId="6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2" borderId="64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167" fontId="10" fillId="2" borderId="73" xfId="19" applyNumberFormat="1" applyFont="1" applyFill="1" applyBorder="1" applyAlignment="1">
      <alignment horizontal="right" vertical="center" wrapText="1"/>
      <protection/>
    </xf>
    <xf numFmtId="167" fontId="10" fillId="2" borderId="39" xfId="19" applyNumberFormat="1" applyFont="1" applyFill="1" applyBorder="1" applyAlignment="1">
      <alignment horizontal="right" vertical="center" wrapText="1"/>
      <protection/>
    </xf>
    <xf numFmtId="3" fontId="10" fillId="2" borderId="39" xfId="19" applyNumberFormat="1" applyFont="1" applyFill="1" applyBorder="1" applyAlignment="1">
      <alignment horizontal="right" vertical="center" wrapText="1"/>
      <protection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2" borderId="6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0" fillId="2" borderId="7" xfId="0" applyFont="1" applyFill="1" applyBorder="1" applyAlignment="1">
      <alignment horizontal="center"/>
    </xf>
    <xf numFmtId="0" fontId="10" fillId="2" borderId="75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0" fillId="2" borderId="27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7" fillId="0" borderId="0" xfId="19" applyFont="1" applyAlignment="1">
      <alignment horizontal="center"/>
      <protection/>
    </xf>
    <xf numFmtId="0" fontId="10" fillId="0" borderId="48" xfId="19" applyFont="1" applyBorder="1" applyAlignment="1">
      <alignment horizontal="center"/>
      <protection/>
    </xf>
    <xf numFmtId="0" fontId="10" fillId="0" borderId="32" xfId="19" applyFont="1" applyBorder="1" applyAlignment="1">
      <alignment horizontal="center"/>
      <protection/>
    </xf>
    <xf numFmtId="0" fontId="10" fillId="0" borderId="10" xfId="19" applyFont="1" applyBorder="1" applyAlignment="1">
      <alignment horizontal="center"/>
      <protection/>
    </xf>
    <xf numFmtId="0" fontId="10" fillId="0" borderId="53" xfId="19" applyFont="1" applyBorder="1" applyAlignment="1">
      <alignment horizontal="center"/>
      <protection/>
    </xf>
    <xf numFmtId="0" fontId="14" fillId="0" borderId="0" xfId="19" applyFont="1" applyAlignment="1">
      <alignment horizontal="left" wrapText="1"/>
      <protection/>
    </xf>
    <xf numFmtId="0" fontId="10" fillId="2" borderId="27" xfId="19" applyFont="1" applyFill="1" applyBorder="1" applyAlignment="1">
      <alignment horizontal="center"/>
      <protection/>
    </xf>
    <xf numFmtId="0" fontId="10" fillId="2" borderId="73" xfId="19" applyFont="1" applyFill="1" applyBorder="1" applyAlignment="1">
      <alignment horizontal="center"/>
      <protection/>
    </xf>
    <xf numFmtId="0" fontId="10" fillId="2" borderId="74" xfId="19" applyFont="1" applyFill="1" applyBorder="1" applyAlignment="1">
      <alignment horizontal="center" vertical="center" wrapText="1"/>
      <protection/>
    </xf>
    <xf numFmtId="0" fontId="10" fillId="2" borderId="29" xfId="19" applyFont="1" applyFill="1" applyBorder="1" applyAlignment="1">
      <alignment horizontal="center" vertical="center" wrapText="1"/>
      <protection/>
    </xf>
    <xf numFmtId="0" fontId="10" fillId="2" borderId="27" xfId="19" applyFont="1" applyFill="1" applyBorder="1" applyAlignment="1">
      <alignment horizontal="center" vertical="center" wrapText="1"/>
      <protection/>
    </xf>
    <xf numFmtId="0" fontId="10" fillId="2" borderId="7" xfId="19" applyFont="1" applyFill="1" applyBorder="1" applyAlignment="1">
      <alignment horizontal="center" vertical="center" wrapText="1"/>
      <protection/>
    </xf>
    <xf numFmtId="0" fontId="10" fillId="2" borderId="6" xfId="19" applyFont="1" applyFill="1" applyBorder="1" applyAlignment="1">
      <alignment horizontal="center" vertical="center" wrapText="1"/>
      <protection/>
    </xf>
    <xf numFmtId="0" fontId="10" fillId="2" borderId="23" xfId="19" applyFont="1" applyFill="1" applyBorder="1" applyAlignment="1">
      <alignment horizontal="center" vertical="center" wrapText="1"/>
      <protection/>
    </xf>
    <xf numFmtId="0" fontId="10" fillId="2" borderId="75" xfId="19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2" borderId="7" xfId="19" applyFont="1" applyFill="1" applyBorder="1" applyAlignment="1">
      <alignment horizontal="center"/>
      <protection/>
    </xf>
    <xf numFmtId="0" fontId="10" fillId="2" borderId="30" xfId="19" applyFont="1" applyFill="1" applyBorder="1" applyAlignment="1">
      <alignment horizontal="center"/>
      <protection/>
    </xf>
    <xf numFmtId="0" fontId="10" fillId="2" borderId="7" xfId="19" applyFont="1" applyFill="1" applyBorder="1" applyAlignment="1">
      <alignment horizontal="center" vertical="center" wrapText="1"/>
      <protection/>
    </xf>
    <xf numFmtId="0" fontId="10" fillId="2" borderId="46" xfId="19" applyFont="1" applyFill="1" applyBorder="1" applyAlignment="1">
      <alignment horizontal="center" vertical="center" wrapText="1"/>
      <protection/>
    </xf>
    <xf numFmtId="0" fontId="10" fillId="2" borderId="48" xfId="19" applyFont="1" applyFill="1" applyBorder="1" applyAlignment="1">
      <alignment horizontal="center" vertical="center" wrapText="1"/>
      <protection/>
    </xf>
    <xf numFmtId="0" fontId="10" fillId="2" borderId="100" xfId="19" applyFont="1" applyFill="1" applyBorder="1" applyAlignment="1">
      <alignment horizontal="center" vertical="center" wrapText="1"/>
      <protection/>
    </xf>
    <xf numFmtId="0" fontId="10" fillId="2" borderId="101" xfId="19" applyFont="1" applyFill="1" applyBorder="1" applyAlignment="1">
      <alignment horizontal="center" vertical="center" wrapText="1"/>
      <protection/>
    </xf>
    <xf numFmtId="0" fontId="10" fillId="2" borderId="28" xfId="19" applyFont="1" applyFill="1" applyBorder="1" applyAlignment="1">
      <alignment horizontal="center" vertical="center" wrapText="1"/>
      <protection/>
    </xf>
    <xf numFmtId="0" fontId="10" fillId="2" borderId="44" xfId="19" applyFont="1" applyFill="1" applyBorder="1" applyAlignment="1">
      <alignment horizontal="center" vertical="center" wrapText="1"/>
      <protection/>
    </xf>
    <xf numFmtId="0" fontId="0" fillId="2" borderId="26" xfId="19" applyFont="1" applyFill="1" applyBorder="1" applyAlignment="1">
      <alignment horizontal="center" vertical="top"/>
      <protection/>
    </xf>
    <xf numFmtId="0" fontId="10" fillId="2" borderId="13" xfId="19" applyFont="1" applyFill="1" applyBorder="1" applyAlignment="1">
      <alignment horizontal="center"/>
      <protection/>
    </xf>
    <xf numFmtId="0" fontId="10" fillId="2" borderId="2" xfId="19" applyFont="1" applyFill="1" applyBorder="1" applyAlignment="1">
      <alignment horizontal="center"/>
      <protection/>
    </xf>
    <xf numFmtId="0" fontId="0" fillId="0" borderId="20" xfId="19" applyFont="1" applyBorder="1" applyAlignment="1">
      <alignment horizontal="center" vertical="top" wrapText="1"/>
      <protection/>
    </xf>
    <xf numFmtId="0" fontId="0" fillId="0" borderId="1" xfId="19" applyFont="1" applyBorder="1" applyAlignment="1">
      <alignment horizontal="center" vertical="top" wrapText="1"/>
      <protection/>
    </xf>
    <xf numFmtId="0" fontId="0" fillId="0" borderId="102" xfId="19" applyFont="1" applyBorder="1" applyAlignment="1">
      <alignment horizontal="center" vertical="top"/>
      <protection/>
    </xf>
    <xf numFmtId="0" fontId="0" fillId="0" borderId="103" xfId="19" applyFont="1" applyBorder="1" applyAlignment="1">
      <alignment horizontal="center" vertical="top"/>
      <protection/>
    </xf>
    <xf numFmtId="0" fontId="0" fillId="0" borderId="4" xfId="19" applyFont="1" applyBorder="1" applyAlignment="1">
      <alignment horizontal="center" vertical="top" wrapText="1"/>
      <protection/>
    </xf>
    <xf numFmtId="0" fontId="0" fillId="0" borderId="52" xfId="19" applyFont="1" applyBorder="1" applyAlignment="1">
      <alignment horizontal="center"/>
      <protection/>
    </xf>
    <xf numFmtId="0" fontId="0" fillId="0" borderId="9" xfId="19" applyFont="1" applyBorder="1" applyAlignment="1">
      <alignment horizontal="center"/>
      <protection/>
    </xf>
    <xf numFmtId="0" fontId="0" fillId="0" borderId="39" xfId="19" applyFont="1" applyBorder="1" applyAlignment="1">
      <alignment horizontal="center"/>
      <protection/>
    </xf>
    <xf numFmtId="0" fontId="0" fillId="0" borderId="51" xfId="19" applyFont="1" applyBorder="1" applyAlignment="1">
      <alignment horizontal="center" vertical="top" wrapText="1"/>
      <protection/>
    </xf>
    <xf numFmtId="0" fontId="0" fillId="0" borderId="26" xfId="19" applyFont="1" applyBorder="1" applyAlignment="1">
      <alignment horizontal="center" vertical="top" wrapText="1"/>
      <protection/>
    </xf>
    <xf numFmtId="0" fontId="0" fillId="0" borderId="13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51" xfId="19" applyFont="1" applyBorder="1" applyAlignment="1">
      <alignment horizontal="center" vertical="top"/>
      <protection/>
    </xf>
    <xf numFmtId="0" fontId="0" fillId="0" borderId="26" xfId="19" applyFont="1" applyBorder="1" applyAlignment="1">
      <alignment horizontal="center" vertical="top"/>
      <protection/>
    </xf>
    <xf numFmtId="0" fontId="10" fillId="2" borderId="64" xfId="19" applyFont="1" applyFill="1" applyBorder="1" applyAlignment="1">
      <alignment horizontal="center" vertical="top" wrapText="1"/>
      <protection/>
    </xf>
    <xf numFmtId="0" fontId="10" fillId="2" borderId="26" xfId="19" applyFont="1" applyFill="1" applyBorder="1" applyAlignment="1">
      <alignment horizontal="center" vertical="top" wrapText="1"/>
      <protection/>
    </xf>
    <xf numFmtId="0" fontId="10" fillId="2" borderId="52" xfId="19" applyFont="1" applyFill="1" applyBorder="1" applyAlignment="1">
      <alignment horizontal="center" vertical="top"/>
      <protection/>
    </xf>
    <xf numFmtId="0" fontId="10" fillId="2" borderId="9" xfId="19" applyFont="1" applyFill="1" applyBorder="1" applyAlignment="1">
      <alignment horizontal="center" vertical="top"/>
      <protection/>
    </xf>
    <xf numFmtId="0" fontId="10" fillId="2" borderId="73" xfId="19" applyFont="1" applyFill="1" applyBorder="1" applyAlignment="1">
      <alignment horizontal="center" vertical="center" wrapText="1"/>
      <protection/>
    </xf>
    <xf numFmtId="0" fontId="10" fillId="2" borderId="32" xfId="19" applyFont="1" applyFill="1" applyBorder="1" applyAlignment="1">
      <alignment horizontal="center" vertical="center" wrapText="1"/>
      <protection/>
    </xf>
    <xf numFmtId="0" fontId="0" fillId="0" borderId="102" xfId="19" applyFont="1" applyBorder="1" applyAlignment="1">
      <alignment horizontal="center"/>
      <protection/>
    </xf>
    <xf numFmtId="0" fontId="0" fillId="0" borderId="103" xfId="19" applyFont="1" applyBorder="1" applyAlignment="1">
      <alignment horizontal="center"/>
      <protection/>
    </xf>
    <xf numFmtId="0" fontId="0" fillId="0" borderId="10" xfId="19" applyFont="1" applyBorder="1" applyAlignment="1">
      <alignment horizontal="center" vertical="top" wrapText="1"/>
      <protection/>
    </xf>
    <xf numFmtId="0" fontId="0" fillId="0" borderId="48" xfId="19" applyFont="1" applyBorder="1" applyAlignment="1">
      <alignment horizontal="center" vertical="top" wrapText="1"/>
      <protection/>
    </xf>
    <xf numFmtId="0" fontId="10" fillId="0" borderId="10" xfId="19" applyFont="1" applyBorder="1" applyAlignment="1">
      <alignment horizontal="left" vertical="top" wrapText="1"/>
      <protection/>
    </xf>
    <xf numFmtId="0" fontId="10" fillId="0" borderId="48" xfId="19" applyFont="1" applyBorder="1" applyAlignment="1">
      <alignment horizontal="left" vertical="top" wrapText="1"/>
      <protection/>
    </xf>
    <xf numFmtId="0" fontId="10" fillId="0" borderId="20" xfId="19" applyFont="1" applyBorder="1" applyAlignment="1">
      <alignment horizontal="left" vertical="top" wrapText="1"/>
      <protection/>
    </xf>
    <xf numFmtId="0" fontId="10" fillId="0" borderId="10" xfId="19" applyFont="1" applyBorder="1" applyAlignment="1">
      <alignment horizontal="center" vertical="center" wrapText="1"/>
      <protection/>
    </xf>
    <xf numFmtId="0" fontId="10" fillId="0" borderId="53" xfId="19" applyFont="1" applyBorder="1" applyAlignment="1">
      <alignment horizontal="center" vertical="center" wrapText="1"/>
      <protection/>
    </xf>
    <xf numFmtId="0" fontId="0" fillId="2" borderId="21" xfId="19" applyFont="1" applyFill="1" applyBorder="1" applyAlignment="1">
      <alignment horizontal="center" vertical="top" wrapText="1"/>
      <protection/>
    </xf>
    <xf numFmtId="0" fontId="0" fillId="2" borderId="1" xfId="19" applyFont="1" applyFill="1" applyBorder="1" applyAlignment="1">
      <alignment horizontal="center" vertical="top" wrapText="1"/>
      <protection/>
    </xf>
    <xf numFmtId="167" fontId="10" fillId="2" borderId="102" xfId="19" applyNumberFormat="1" applyFont="1" applyFill="1" applyBorder="1" applyAlignment="1">
      <alignment horizontal="center" vertical="center" wrapText="1"/>
      <protection/>
    </xf>
    <xf numFmtId="0" fontId="10" fillId="2" borderId="103" xfId="19" applyFont="1" applyFill="1" applyBorder="1" applyAlignment="1">
      <alignment horizontal="center" vertical="center" wrapText="1"/>
      <protection/>
    </xf>
    <xf numFmtId="0" fontId="0" fillId="0" borderId="21" xfId="19" applyFont="1" applyBorder="1" applyAlignment="1">
      <alignment horizontal="center" vertical="top" wrapText="1"/>
      <protection/>
    </xf>
    <xf numFmtId="0" fontId="10" fillId="0" borderId="104" xfId="19" applyFont="1" applyBorder="1" applyAlignment="1">
      <alignment horizontal="left" vertical="top" wrapText="1"/>
      <protection/>
    </xf>
    <xf numFmtId="0" fontId="10" fillId="0" borderId="103" xfId="19" applyFont="1" applyBorder="1" applyAlignment="1">
      <alignment horizontal="left" vertical="top" wrapText="1"/>
      <protection/>
    </xf>
    <xf numFmtId="0" fontId="10" fillId="0" borderId="84" xfId="19" applyFont="1" applyBorder="1" applyAlignment="1">
      <alignment horizontal="left" vertical="top" wrapText="1"/>
      <protection/>
    </xf>
    <xf numFmtId="0" fontId="10" fillId="0" borderId="46" xfId="19" applyFont="1" applyBorder="1" applyAlignment="1">
      <alignment horizontal="center" vertical="center" wrapText="1"/>
      <protection/>
    </xf>
    <xf numFmtId="0" fontId="10" fillId="0" borderId="47" xfId="19" applyFont="1" applyBorder="1" applyAlignment="1">
      <alignment horizontal="center" vertical="center" wrapText="1"/>
      <protection/>
    </xf>
    <xf numFmtId="0" fontId="0" fillId="0" borderId="84" xfId="19" applyFont="1" applyBorder="1" applyAlignment="1">
      <alignment horizontal="center"/>
      <protection/>
    </xf>
    <xf numFmtId="0" fontId="0" fillId="0" borderId="56" xfId="19" applyFont="1" applyBorder="1" applyAlignment="1">
      <alignment horizontal="center" vertical="top" wrapText="1"/>
      <protection/>
    </xf>
    <xf numFmtId="0" fontId="10" fillId="0" borderId="46" xfId="19" applyFont="1" applyBorder="1" applyAlignment="1">
      <alignment horizontal="center"/>
      <protection/>
    </xf>
    <xf numFmtId="0" fontId="10" fillId="0" borderId="47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56" xfId="19" applyFont="1" applyBorder="1" applyAlignment="1">
      <alignment horizontal="center" vertical="top"/>
      <protection/>
    </xf>
    <xf numFmtId="0" fontId="0" fillId="0" borderId="42" xfId="19" applyFont="1" applyBorder="1" applyAlignment="1">
      <alignment horizontal="center" vertical="top"/>
      <protection/>
    </xf>
    <xf numFmtId="0" fontId="0" fillId="0" borderId="55" xfId="19" applyFont="1" applyBorder="1" applyAlignment="1">
      <alignment horizontal="center"/>
      <protection/>
    </xf>
    <xf numFmtId="0" fontId="10" fillId="0" borderId="36" xfId="19" applyFont="1" applyBorder="1" applyAlignment="1">
      <alignment horizontal="center" vertical="center"/>
      <protection/>
    </xf>
    <xf numFmtId="0" fontId="10" fillId="0" borderId="22" xfId="19" applyFont="1" applyBorder="1" applyAlignment="1">
      <alignment horizontal="center" vertical="center"/>
      <protection/>
    </xf>
    <xf numFmtId="0" fontId="10" fillId="0" borderId="37" xfId="19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1" fillId="2" borderId="6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5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18" xfId="0" applyNumberFormat="1" applyFont="1" applyFill="1" applyBorder="1" applyAlignment="1">
      <alignment horizontal="righ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65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0" fillId="5" borderId="2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5" borderId="65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5" borderId="74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8" xfId="0" applyFont="1" applyBorder="1" applyAlignment="1">
      <alignment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3" fontId="4" fillId="4" borderId="18" xfId="0" applyNumberFormat="1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1" fillId="4" borderId="65" xfId="15" applyNumberFormat="1" applyFont="1" applyFill="1" applyBorder="1" applyAlignment="1">
      <alignment horizontal="right" vertical="center" wrapText="1"/>
    </xf>
    <xf numFmtId="3" fontId="1" fillId="4" borderId="11" xfId="15" applyNumberFormat="1" applyFont="1" applyFill="1" applyBorder="1" applyAlignment="1">
      <alignment horizontal="right" vertical="center" wrapText="1"/>
    </xf>
    <xf numFmtId="3" fontId="1" fillId="4" borderId="18" xfId="15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7" fillId="0" borderId="7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4" borderId="6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05" xfId="0" applyFont="1" applyFill="1" applyBorder="1" applyAlignment="1">
      <alignment horizontal="left" vertical="center" wrapText="1"/>
    </xf>
    <xf numFmtId="0" fontId="5" fillId="0" borderId="10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left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left" vertical="center" wrapText="1"/>
    </xf>
    <xf numFmtId="0" fontId="7" fillId="2" borderId="107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6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/>
    </xf>
    <xf numFmtId="0" fontId="7" fillId="2" borderId="18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71" xfId="0" applyFont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108" xfId="0" applyFont="1" applyFill="1" applyBorder="1" applyAlignment="1">
      <alignment horizontal="left" vertical="center" wrapText="1"/>
    </xf>
    <xf numFmtId="0" fontId="5" fillId="0" borderId="109" xfId="0" applyFont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8" fillId="4" borderId="0" xfId="20" applyFont="1" applyFill="1" applyBorder="1" applyAlignment="1">
      <alignment horizontal="left" wrapText="1"/>
      <protection/>
    </xf>
    <xf numFmtId="0" fontId="5" fillId="4" borderId="40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Normalny_05.11.08(plan-2006)" xfId="18"/>
    <cellStyle name="Normalny_Małgosia - Projekt budżetu na 2005 r. - TABELE" xfId="19"/>
    <cellStyle name="Normalny_Wieloletni 19-12-01 (1)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N33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6.00390625" style="60" customWidth="1"/>
    <col min="2" max="2" width="10.625" style="60" customWidth="1"/>
    <col min="3" max="3" width="9.125" style="663" customWidth="1"/>
    <col min="4" max="4" width="70.25390625" style="60" customWidth="1"/>
    <col min="5" max="5" width="19.625" style="661" customWidth="1"/>
    <col min="6" max="6" width="22.125" style="661" customWidth="1"/>
    <col min="7" max="7" width="21.375" style="60" customWidth="1"/>
    <col min="8" max="8" width="9.125" style="60" customWidth="1"/>
    <col min="9" max="9" width="10.875" style="60" bestFit="1" customWidth="1"/>
    <col min="10" max="10" width="12.00390625" style="60" bestFit="1" customWidth="1"/>
    <col min="11" max="16384" width="9.125" style="60" customWidth="1"/>
  </cols>
  <sheetData>
    <row r="1" spans="1:7" ht="45">
      <c r="A1" s="658"/>
      <c r="B1" s="659"/>
      <c r="C1" s="660"/>
      <c r="D1" s="661"/>
      <c r="G1" s="662" t="s">
        <v>58</v>
      </c>
    </row>
    <row r="2" spans="1:7" ht="12">
      <c r="A2" s="658"/>
      <c r="B2" s="659"/>
      <c r="C2" s="660"/>
      <c r="D2" s="661"/>
      <c r="G2" s="661"/>
    </row>
    <row r="3" spans="1:7" ht="14.25" customHeight="1">
      <c r="A3" s="1313" t="s">
        <v>205</v>
      </c>
      <c r="B3" s="1313"/>
      <c r="C3" s="1313"/>
      <c r="D3" s="1313"/>
      <c r="E3" s="1313"/>
      <c r="F3" s="1313"/>
      <c r="G3" s="1313"/>
    </row>
    <row r="4" spans="1:7" ht="15" customHeight="1">
      <c r="A4" s="1303" t="s">
        <v>355</v>
      </c>
      <c r="B4" s="1303"/>
      <c r="C4" s="1303"/>
      <c r="D4" s="1303"/>
      <c r="E4" s="1303"/>
      <c r="F4" s="1303"/>
      <c r="G4" s="1303"/>
    </row>
    <row r="5" spans="5:7" ht="14.25" customHeight="1" thickBot="1">
      <c r="E5" s="335"/>
      <c r="F5" s="337"/>
      <c r="G5" s="214" t="s">
        <v>593</v>
      </c>
    </row>
    <row r="6" spans="2:7" s="664" customFormat="1" ht="14.25" customHeight="1">
      <c r="B6" s="1314" t="s">
        <v>375</v>
      </c>
      <c r="C6" s="1297" t="s">
        <v>376</v>
      </c>
      <c r="D6" s="1298"/>
      <c r="E6" s="1294" t="s">
        <v>335</v>
      </c>
      <c r="F6" s="1290" t="s">
        <v>555</v>
      </c>
      <c r="G6" s="1291"/>
    </row>
    <row r="7" spans="1:7" s="664" customFormat="1" ht="32.25" customHeight="1">
      <c r="A7" s="665"/>
      <c r="B7" s="1296"/>
      <c r="C7" s="1292"/>
      <c r="D7" s="1293"/>
      <c r="E7" s="1295"/>
      <c r="F7" s="666" t="s">
        <v>459</v>
      </c>
      <c r="G7" s="667" t="s">
        <v>460</v>
      </c>
    </row>
    <row r="8" spans="1:8" s="674" customFormat="1" ht="12" thickBot="1">
      <c r="A8" s="668"/>
      <c r="B8" s="669">
        <v>1</v>
      </c>
      <c r="C8" s="1304">
        <v>2</v>
      </c>
      <c r="D8" s="1305"/>
      <c r="E8" s="670">
        <v>3</v>
      </c>
      <c r="F8" s="671">
        <v>4</v>
      </c>
      <c r="G8" s="672">
        <v>5</v>
      </c>
      <c r="H8" s="673"/>
    </row>
    <row r="9" spans="1:7" ht="3.75" customHeight="1">
      <c r="A9" s="661"/>
      <c r="B9" s="338"/>
      <c r="C9" s="400"/>
      <c r="D9" s="382"/>
      <c r="E9" s="675"/>
      <c r="F9" s="676"/>
      <c r="G9" s="677"/>
    </row>
    <row r="10" spans="1:7" ht="27.75" customHeight="1" hidden="1">
      <c r="A10" s="661"/>
      <c r="B10" s="342">
        <v>400</v>
      </c>
      <c r="C10" s="1306" t="s">
        <v>461</v>
      </c>
      <c r="D10" s="1307"/>
      <c r="E10" s="678">
        <f>SUM(F10:G10)</f>
        <v>0</v>
      </c>
      <c r="F10" s="679">
        <f>F50</f>
        <v>0</v>
      </c>
      <c r="G10" s="680">
        <f>G50</f>
        <v>0</v>
      </c>
    </row>
    <row r="11" spans="1:7" ht="12" customHeight="1">
      <c r="A11" s="661"/>
      <c r="B11" s="338"/>
      <c r="C11" s="400"/>
      <c r="D11" s="382"/>
      <c r="E11" s="675"/>
      <c r="F11" s="676"/>
      <c r="G11" s="681"/>
    </row>
    <row r="12" spans="1:7" ht="14.25" customHeight="1">
      <c r="A12" s="661"/>
      <c r="B12" s="342">
        <v>600</v>
      </c>
      <c r="C12" s="399" t="s">
        <v>377</v>
      </c>
      <c r="D12" s="383"/>
      <c r="E12" s="678">
        <f>SUM(F12:G12)</f>
        <v>4950000</v>
      </c>
      <c r="F12" s="679">
        <f>F317</f>
        <v>300000</v>
      </c>
      <c r="G12" s="680">
        <f>G317</f>
        <v>4650000</v>
      </c>
    </row>
    <row r="13" spans="1:7" ht="14.25" customHeight="1">
      <c r="A13" s="661"/>
      <c r="B13" s="338"/>
      <c r="C13" s="400"/>
      <c r="D13" s="382"/>
      <c r="E13" s="675"/>
      <c r="F13" s="676"/>
      <c r="G13" s="681"/>
    </row>
    <row r="14" spans="1:7" ht="14.25" customHeight="1">
      <c r="A14" s="661"/>
      <c r="B14" s="338">
        <v>700</v>
      </c>
      <c r="C14" s="400" t="s">
        <v>379</v>
      </c>
      <c r="D14" s="382"/>
      <c r="E14" s="678">
        <f>SUM(F14:G14)</f>
        <v>8858500</v>
      </c>
      <c r="F14" s="645">
        <f>F60</f>
        <v>149500</v>
      </c>
      <c r="G14" s="682">
        <f>G60</f>
        <v>8709000</v>
      </c>
    </row>
    <row r="15" spans="1:7" ht="14.25" customHeight="1">
      <c r="A15" s="661"/>
      <c r="B15" s="343"/>
      <c r="C15" s="401"/>
      <c r="D15" s="402"/>
      <c r="E15" s="683"/>
      <c r="F15" s="684"/>
      <c r="G15" s="685"/>
    </row>
    <row r="16" spans="1:7" ht="14.25" customHeight="1">
      <c r="A16" s="661"/>
      <c r="B16" s="342">
        <v>750</v>
      </c>
      <c r="C16" s="399" t="s">
        <v>382</v>
      </c>
      <c r="D16" s="383"/>
      <c r="E16" s="678">
        <f>SUM(F16:G16)</f>
        <v>755092</v>
      </c>
      <c r="F16" s="686">
        <f>F72+F251</f>
        <v>332200</v>
      </c>
      <c r="G16" s="525">
        <f>G72+G251</f>
        <v>422892</v>
      </c>
    </row>
    <row r="17" spans="1:7" ht="14.25" customHeight="1">
      <c r="A17" s="661"/>
      <c r="B17" s="338"/>
      <c r="C17" s="400"/>
      <c r="D17" s="382"/>
      <c r="E17" s="644"/>
      <c r="F17" s="688"/>
      <c r="G17" s="524"/>
    </row>
    <row r="18" spans="1:7" ht="14.25" customHeight="1">
      <c r="A18" s="661"/>
      <c r="B18" s="338">
        <v>751</v>
      </c>
      <c r="C18" s="400" t="s">
        <v>462</v>
      </c>
      <c r="D18" s="382"/>
      <c r="E18" s="687"/>
      <c r="F18" s="688"/>
      <c r="G18" s="524"/>
    </row>
    <row r="19" spans="1:7" ht="14.25" customHeight="1">
      <c r="A19" s="661"/>
      <c r="B19" s="338"/>
      <c r="C19" s="400" t="s">
        <v>551</v>
      </c>
      <c r="D19" s="382"/>
      <c r="E19" s="644">
        <f>SUM(F19:G19)</f>
        <v>6720</v>
      </c>
      <c r="F19" s="688">
        <f>SUM(F259)</f>
        <v>6720</v>
      </c>
      <c r="G19" s="524">
        <f>SUM(G259)</f>
        <v>0</v>
      </c>
    </row>
    <row r="20" spans="1:7" ht="14.25" customHeight="1">
      <c r="A20" s="661"/>
      <c r="B20" s="343"/>
      <c r="C20" s="401"/>
      <c r="D20" s="402"/>
      <c r="E20" s="701"/>
      <c r="F20" s="694"/>
      <c r="G20" s="695"/>
    </row>
    <row r="21" spans="1:7" ht="14.25" customHeight="1">
      <c r="A21" s="661"/>
      <c r="B21" s="338">
        <v>754</v>
      </c>
      <c r="C21" s="400" t="s">
        <v>384</v>
      </c>
      <c r="D21" s="382"/>
      <c r="E21" s="687"/>
      <c r="F21" s="688"/>
      <c r="G21" s="524"/>
    </row>
    <row r="22" spans="1:7" ht="14.25" customHeight="1">
      <c r="A22" s="661"/>
      <c r="B22" s="336"/>
      <c r="C22" s="399" t="s">
        <v>385</v>
      </c>
      <c r="D22" s="383"/>
      <c r="E22" s="678">
        <f>SUM(F22:G22)</f>
        <v>35000</v>
      </c>
      <c r="F22" s="686">
        <f>F89</f>
        <v>35000</v>
      </c>
      <c r="G22" s="525">
        <f>G89</f>
        <v>0</v>
      </c>
    </row>
    <row r="23" spans="1:7" ht="14.25" customHeight="1">
      <c r="A23" s="661"/>
      <c r="B23" s="1041"/>
      <c r="C23" s="400"/>
      <c r="D23" s="382"/>
      <c r="E23" s="644"/>
      <c r="F23" s="688"/>
      <c r="G23" s="524"/>
    </row>
    <row r="24" spans="1:7" ht="14.25" customHeight="1">
      <c r="A24" s="661"/>
      <c r="B24" s="338">
        <v>756</v>
      </c>
      <c r="C24" s="400" t="s">
        <v>463</v>
      </c>
      <c r="D24" s="382"/>
      <c r="E24" s="687"/>
      <c r="F24" s="688"/>
      <c r="G24" s="524"/>
    </row>
    <row r="25" spans="1:7" ht="14.25" customHeight="1">
      <c r="A25" s="661"/>
      <c r="B25" s="338"/>
      <c r="C25" s="400" t="s">
        <v>517</v>
      </c>
      <c r="D25" s="382"/>
      <c r="E25" s="690"/>
      <c r="F25" s="691"/>
      <c r="G25" s="692"/>
    </row>
    <row r="26" spans="1:7" ht="14.25" customHeight="1">
      <c r="A26" s="661"/>
      <c r="B26" s="338"/>
      <c r="C26" s="400" t="s">
        <v>167</v>
      </c>
      <c r="D26" s="382"/>
      <c r="E26" s="678">
        <f>F26+G26</f>
        <v>67019647</v>
      </c>
      <c r="F26" s="688">
        <f>F99</f>
        <v>67019647</v>
      </c>
      <c r="G26" s="524">
        <f>G99</f>
        <v>0</v>
      </c>
    </row>
    <row r="27" spans="1:7" ht="14.25" customHeight="1">
      <c r="A27" s="661"/>
      <c r="B27" s="343"/>
      <c r="C27" s="401"/>
      <c r="D27" s="402"/>
      <c r="E27" s="693"/>
      <c r="F27" s="694"/>
      <c r="G27" s="695"/>
    </row>
    <row r="28" spans="1:7" ht="14.25" customHeight="1">
      <c r="A28" s="661"/>
      <c r="B28" s="345">
        <v>758</v>
      </c>
      <c r="C28" s="399" t="s">
        <v>386</v>
      </c>
      <c r="D28" s="383"/>
      <c r="E28" s="678">
        <f>SUM(F28:G28)</f>
        <v>18306797</v>
      </c>
      <c r="F28" s="686">
        <f>F150</f>
        <v>18306797</v>
      </c>
      <c r="G28" s="525">
        <f>G150</f>
        <v>0</v>
      </c>
    </row>
    <row r="29" spans="1:7" ht="14.25" customHeight="1">
      <c r="A29" s="661"/>
      <c r="B29" s="341"/>
      <c r="C29" s="400"/>
      <c r="D29" s="382"/>
      <c r="E29" s="687"/>
      <c r="F29" s="688"/>
      <c r="G29" s="524"/>
    </row>
    <row r="30" spans="1:7" ht="14.25" customHeight="1">
      <c r="A30" s="661"/>
      <c r="B30" s="341">
        <v>801</v>
      </c>
      <c r="C30" s="400" t="s">
        <v>387</v>
      </c>
      <c r="D30" s="382"/>
      <c r="E30" s="678">
        <f>SUM(F30:G30)</f>
        <v>35200</v>
      </c>
      <c r="F30" s="688">
        <f>F161</f>
        <v>35200</v>
      </c>
      <c r="G30" s="524">
        <f>G161</f>
        <v>0</v>
      </c>
    </row>
    <row r="31" spans="1:7" ht="14.25" customHeight="1">
      <c r="A31" s="661"/>
      <c r="B31" s="346"/>
      <c r="C31" s="401"/>
      <c r="D31" s="402"/>
      <c r="E31" s="693"/>
      <c r="F31" s="694"/>
      <c r="G31" s="695"/>
    </row>
    <row r="32" spans="1:7" ht="14.25" customHeight="1">
      <c r="A32" s="661"/>
      <c r="B32" s="345">
        <v>851</v>
      </c>
      <c r="C32" s="399" t="s">
        <v>388</v>
      </c>
      <c r="D32" s="383"/>
      <c r="E32" s="678">
        <f>SUM(F32:G32)</f>
        <v>3508</v>
      </c>
      <c r="F32" s="686">
        <f>F172+F267</f>
        <v>3508</v>
      </c>
      <c r="G32" s="525">
        <f>SUM(G172+G267)</f>
        <v>0</v>
      </c>
    </row>
    <row r="33" spans="1:7" ht="14.25" customHeight="1">
      <c r="A33" s="661"/>
      <c r="B33" s="341"/>
      <c r="C33" s="400"/>
      <c r="D33" s="382"/>
      <c r="E33" s="687"/>
      <c r="F33" s="688"/>
      <c r="G33" s="524"/>
    </row>
    <row r="34" spans="1:7" ht="14.25" customHeight="1">
      <c r="A34" s="661"/>
      <c r="B34" s="696">
        <v>852</v>
      </c>
      <c r="C34" s="697" t="s">
        <v>164</v>
      </c>
      <c r="D34" s="698"/>
      <c r="E34" s="678">
        <f>SUM(F34:G34)</f>
        <v>11733350</v>
      </c>
      <c r="F34" s="699">
        <f>F177+F274</f>
        <v>11733350</v>
      </c>
      <c r="G34" s="700">
        <f>G177+G274</f>
        <v>0</v>
      </c>
    </row>
    <row r="35" spans="1:7" ht="14.25" customHeight="1">
      <c r="A35" s="661"/>
      <c r="B35" s="341"/>
      <c r="C35" s="400"/>
      <c r="D35" s="382"/>
      <c r="E35" s="701"/>
      <c r="F35" s="688"/>
      <c r="G35" s="524"/>
    </row>
    <row r="36" spans="1:7" ht="14.25" customHeight="1">
      <c r="A36" s="661"/>
      <c r="B36" s="341">
        <v>853</v>
      </c>
      <c r="C36" s="400" t="s">
        <v>518</v>
      </c>
      <c r="D36" s="382"/>
      <c r="E36" s="678">
        <f>SUM(F36:G36)</f>
        <v>592124</v>
      </c>
      <c r="F36" s="688">
        <f>F198+F327</f>
        <v>592124</v>
      </c>
      <c r="G36" s="524">
        <f>G198+G327</f>
        <v>0</v>
      </c>
    </row>
    <row r="37" spans="1:7" ht="14.25" customHeight="1">
      <c r="A37" s="661"/>
      <c r="B37" s="346"/>
      <c r="C37" s="401"/>
      <c r="D37" s="402"/>
      <c r="E37" s="693"/>
      <c r="F37" s="694"/>
      <c r="G37" s="695"/>
    </row>
    <row r="38" spans="1:7" ht="14.25" customHeight="1">
      <c r="A38" s="661"/>
      <c r="B38" s="345">
        <v>900</v>
      </c>
      <c r="C38" s="399" t="s">
        <v>284</v>
      </c>
      <c r="D38" s="383"/>
      <c r="E38" s="678">
        <f>SUM(F38:G38)</f>
        <v>11453516</v>
      </c>
      <c r="F38" s="686">
        <f>F204</f>
        <v>2969557</v>
      </c>
      <c r="G38" s="525">
        <f>G204</f>
        <v>8483959</v>
      </c>
    </row>
    <row r="39" spans="1:7" ht="14.25" customHeight="1">
      <c r="A39" s="661"/>
      <c r="B39" s="338"/>
      <c r="C39" s="400"/>
      <c r="D39" s="382"/>
      <c r="E39" s="687"/>
      <c r="F39" s="688"/>
      <c r="G39" s="524"/>
    </row>
    <row r="40" spans="1:7" ht="14.25" customHeight="1" thickBot="1">
      <c r="A40" s="661"/>
      <c r="B40" s="342">
        <v>921</v>
      </c>
      <c r="C40" s="399" t="s">
        <v>441</v>
      </c>
      <c r="D40" s="383"/>
      <c r="E40" s="678">
        <f>SUM(F40:G40)</f>
        <v>300000</v>
      </c>
      <c r="F40" s="686">
        <f>F238</f>
        <v>0</v>
      </c>
      <c r="G40" s="525">
        <f>G238</f>
        <v>300000</v>
      </c>
    </row>
    <row r="41" spans="1:7" ht="14.25" customHeight="1">
      <c r="A41" s="661"/>
      <c r="B41" s="704"/>
      <c r="C41" s="393"/>
      <c r="D41" s="384"/>
      <c r="E41" s="705"/>
      <c r="F41" s="706"/>
      <c r="G41" s="707"/>
    </row>
    <row r="42" spans="1:9" ht="14.25" customHeight="1" thickBot="1">
      <c r="A42" s="661"/>
      <c r="B42" s="708"/>
      <c r="C42" s="709" t="s">
        <v>393</v>
      </c>
      <c r="D42" s="710"/>
      <c r="E42" s="711">
        <f>SUM(E10:E40)</f>
        <v>124049454</v>
      </c>
      <c r="F42" s="712">
        <f>SUM(F10:F40)</f>
        <v>101483603</v>
      </c>
      <c r="G42" s="713">
        <f>SUM(G10:G40)</f>
        <v>22565851</v>
      </c>
      <c r="I42" s="714"/>
    </row>
    <row r="43" spans="1:7" ht="14.25" customHeight="1">
      <c r="A43" s="1308" t="s">
        <v>351</v>
      </c>
      <c r="B43" s="1308"/>
      <c r="C43" s="1308"/>
      <c r="D43" s="1308"/>
      <c r="E43" s="1308"/>
      <c r="F43" s="1308"/>
      <c r="G43" s="1308"/>
    </row>
    <row r="44" spans="1:7" ht="14.25" customHeight="1">
      <c r="A44" s="1303" t="s">
        <v>350</v>
      </c>
      <c r="B44" s="1303"/>
      <c r="C44" s="1303"/>
      <c r="D44" s="1303"/>
      <c r="E44" s="1303"/>
      <c r="F44" s="1303"/>
      <c r="G44" s="1303"/>
    </row>
    <row r="45" spans="1:7" ht="14.25" customHeight="1">
      <c r="A45" s="715"/>
      <c r="B45" s="716"/>
      <c r="C45" s="717"/>
      <c r="D45" s="716"/>
      <c r="E45" s="403"/>
      <c r="G45" s="661"/>
    </row>
    <row r="46" spans="1:7" ht="14.25" customHeight="1" thickBot="1">
      <c r="A46" s="715"/>
      <c r="B46" s="716"/>
      <c r="C46" s="717"/>
      <c r="D46" s="716"/>
      <c r="E46" s="954"/>
      <c r="F46" s="718"/>
      <c r="G46" s="335" t="s">
        <v>593</v>
      </c>
    </row>
    <row r="47" spans="1:7" s="719" customFormat="1" ht="14.25" customHeight="1">
      <c r="A47" s="1309" t="s">
        <v>375</v>
      </c>
      <c r="B47" s="1311" t="s">
        <v>394</v>
      </c>
      <c r="C47" s="1311" t="s">
        <v>418</v>
      </c>
      <c r="D47" s="1311" t="s">
        <v>395</v>
      </c>
      <c r="E47" s="1294" t="s">
        <v>335</v>
      </c>
      <c r="F47" s="1290" t="s">
        <v>555</v>
      </c>
      <c r="G47" s="1291"/>
    </row>
    <row r="48" spans="1:7" s="720" customFormat="1" ht="12.75">
      <c r="A48" s="1310"/>
      <c r="B48" s="1312"/>
      <c r="C48" s="1312"/>
      <c r="D48" s="1312"/>
      <c r="E48" s="1295"/>
      <c r="F48" s="666" t="s">
        <v>459</v>
      </c>
      <c r="G48" s="667" t="s">
        <v>460</v>
      </c>
    </row>
    <row r="49" spans="1:7" s="674" customFormat="1" ht="14.25" customHeight="1" thickBot="1">
      <c r="A49" s="669">
        <v>1</v>
      </c>
      <c r="B49" s="721">
        <v>2</v>
      </c>
      <c r="C49" s="722">
        <v>3</v>
      </c>
      <c r="D49" s="721">
        <v>4</v>
      </c>
      <c r="E49" s="670">
        <v>5</v>
      </c>
      <c r="F49" s="671">
        <v>6</v>
      </c>
      <c r="G49" s="723">
        <v>7</v>
      </c>
    </row>
    <row r="50" spans="1:7" s="405" customFormat="1" ht="25.5" hidden="1">
      <c r="A50" s="338">
        <v>400</v>
      </c>
      <c r="B50" s="353"/>
      <c r="C50" s="409"/>
      <c r="D50" s="724" t="s">
        <v>461</v>
      </c>
      <c r="E50" s="678">
        <f>SUM(E52)</f>
        <v>0</v>
      </c>
      <c r="F50" s="678">
        <f>SUM(F52)</f>
        <v>0</v>
      </c>
      <c r="G50" s="680">
        <f>SUM(G52)</f>
        <v>0</v>
      </c>
    </row>
    <row r="51" spans="1:7" s="405" customFormat="1" ht="14.25" customHeight="1" hidden="1" thickBot="1">
      <c r="A51" s="338"/>
      <c r="B51" s="387"/>
      <c r="C51" s="410"/>
      <c r="D51" s="426"/>
      <c r="E51" s="644"/>
      <c r="F51" s="694"/>
      <c r="G51" s="695"/>
    </row>
    <row r="52" spans="1:7" s="405" customFormat="1" ht="14.25" customHeight="1" hidden="1">
      <c r="A52" s="338"/>
      <c r="B52" s="387">
        <v>40002</v>
      </c>
      <c r="C52" s="409"/>
      <c r="D52" s="427" t="s">
        <v>402</v>
      </c>
      <c r="E52" s="678">
        <f>SUM(E53)</f>
        <v>0</v>
      </c>
      <c r="F52" s="679">
        <f>SUM(F53)</f>
        <v>0</v>
      </c>
      <c r="G52" s="680">
        <f>SUM(G53)</f>
        <v>0</v>
      </c>
    </row>
    <row r="53" spans="1:7" s="405" customFormat="1" ht="32.25" customHeight="1" hidden="1">
      <c r="A53" s="342"/>
      <c r="B53" s="354"/>
      <c r="C53" s="409">
        <v>6298</v>
      </c>
      <c r="D53" s="388" t="s">
        <v>618</v>
      </c>
      <c r="E53" s="725">
        <v>0</v>
      </c>
      <c r="F53" s="686"/>
      <c r="G53" s="525">
        <v>0</v>
      </c>
    </row>
    <row r="54" spans="1:7" s="405" customFormat="1" ht="14.25" customHeight="1" hidden="1" thickBot="1">
      <c r="A54" s="355"/>
      <c r="B54" s="387"/>
      <c r="C54" s="410"/>
      <c r="D54" s="426"/>
      <c r="E54" s="644"/>
      <c r="F54" s="645"/>
      <c r="G54" s="524"/>
    </row>
    <row r="55" spans="1:7" s="405" customFormat="1" ht="14.25" customHeight="1" hidden="1">
      <c r="A55" s="338">
        <v>600</v>
      </c>
      <c r="B55" s="353"/>
      <c r="C55" s="409"/>
      <c r="D55" s="427" t="s">
        <v>377</v>
      </c>
      <c r="E55" s="678">
        <f>SUM(E57)</f>
        <v>0</v>
      </c>
      <c r="F55" s="679">
        <f>SUM(F57)</f>
        <v>0</v>
      </c>
      <c r="G55" s="680">
        <f>SUM(G57)</f>
        <v>0</v>
      </c>
    </row>
    <row r="56" spans="1:7" s="405" customFormat="1" ht="14.25" customHeight="1" hidden="1">
      <c r="A56" s="338"/>
      <c r="B56" s="387"/>
      <c r="C56" s="410"/>
      <c r="D56" s="426"/>
      <c r="E56" s="644"/>
      <c r="F56" s="694"/>
      <c r="G56" s="695"/>
    </row>
    <row r="57" spans="1:7" s="405" customFormat="1" ht="14.25" customHeight="1" hidden="1">
      <c r="A57" s="338"/>
      <c r="B57" s="387">
        <v>60016</v>
      </c>
      <c r="C57" s="409"/>
      <c r="D57" s="427" t="s">
        <v>403</v>
      </c>
      <c r="E57" s="678">
        <f>SUM(E58)</f>
        <v>0</v>
      </c>
      <c r="F57" s="679">
        <f>SUM(F58)</f>
        <v>0</v>
      </c>
      <c r="G57" s="680">
        <f>SUM(G58)</f>
        <v>0</v>
      </c>
    </row>
    <row r="58" spans="1:7" s="405" customFormat="1" ht="37.5" customHeight="1" hidden="1">
      <c r="A58" s="342"/>
      <c r="B58" s="354"/>
      <c r="C58" s="409">
        <v>6298</v>
      </c>
      <c r="D58" s="388" t="s">
        <v>618</v>
      </c>
      <c r="E58" s="725">
        <v>0</v>
      </c>
      <c r="F58" s="686"/>
      <c r="G58" s="525">
        <v>0</v>
      </c>
    </row>
    <row r="59" spans="1:7" s="405" customFormat="1" ht="14.25" customHeight="1">
      <c r="A59" s="355"/>
      <c r="B59" s="387"/>
      <c r="C59" s="410"/>
      <c r="D59" s="426"/>
      <c r="E59" s="644"/>
      <c r="F59" s="645"/>
      <c r="G59" s="524"/>
    </row>
    <row r="60" spans="1:7" s="405" customFormat="1" ht="14.25" customHeight="1">
      <c r="A60" s="338">
        <v>700</v>
      </c>
      <c r="B60" s="353"/>
      <c r="C60" s="409"/>
      <c r="D60" s="427" t="s">
        <v>379</v>
      </c>
      <c r="E60" s="678">
        <f>SUM(E62+E65)</f>
        <v>8858500</v>
      </c>
      <c r="F60" s="679">
        <f>SUM(F62+F65)</f>
        <v>149500</v>
      </c>
      <c r="G60" s="680">
        <f>SUM(G62+G65)</f>
        <v>8709000</v>
      </c>
    </row>
    <row r="61" spans="1:7" s="405" customFormat="1" ht="14.25" customHeight="1">
      <c r="A61" s="338"/>
      <c r="B61" s="387"/>
      <c r="C61" s="410"/>
      <c r="D61" s="426"/>
      <c r="E61" s="644"/>
      <c r="F61" s="694"/>
      <c r="G61" s="695"/>
    </row>
    <row r="62" spans="1:7" s="405" customFormat="1" ht="14.25" customHeight="1">
      <c r="A62" s="338"/>
      <c r="B62" s="387">
        <v>70001</v>
      </c>
      <c r="C62" s="409"/>
      <c r="D62" s="427" t="s">
        <v>247</v>
      </c>
      <c r="E62" s="678">
        <f>SUM(E63)</f>
        <v>1970000</v>
      </c>
      <c r="F62" s="679">
        <f>SUM(F63)</f>
        <v>0</v>
      </c>
      <c r="G62" s="680">
        <f>SUM(G63)</f>
        <v>1970000</v>
      </c>
    </row>
    <row r="63" spans="1:7" s="405" customFormat="1" ht="43.5" customHeight="1">
      <c r="A63" s="338"/>
      <c r="B63" s="354"/>
      <c r="C63" s="409">
        <v>6260</v>
      </c>
      <c r="D63" s="388" t="s">
        <v>283</v>
      </c>
      <c r="E63" s="725">
        <f>SUM(F63:G63)</f>
        <v>1970000</v>
      </c>
      <c r="F63" s="688"/>
      <c r="G63" s="524">
        <f>700000+1130000-150000+290000</f>
        <v>1970000</v>
      </c>
    </row>
    <row r="64" spans="1:7" s="405" customFormat="1" ht="12.75" customHeight="1">
      <c r="A64" s="338"/>
      <c r="B64" s="387"/>
      <c r="C64" s="410"/>
      <c r="D64" s="426"/>
      <c r="E64" s="644"/>
      <c r="F64" s="694"/>
      <c r="G64" s="695"/>
    </row>
    <row r="65" spans="1:7" s="405" customFormat="1" ht="14.25" customHeight="1">
      <c r="A65" s="338"/>
      <c r="B65" s="387">
        <v>70005</v>
      </c>
      <c r="C65" s="409"/>
      <c r="D65" s="427" t="s">
        <v>405</v>
      </c>
      <c r="E65" s="678">
        <f>SUM(E66:E70)</f>
        <v>6888500</v>
      </c>
      <c r="F65" s="679">
        <f>SUM(F66:F70)</f>
        <v>149500</v>
      </c>
      <c r="G65" s="680">
        <f>SUM(G66:G70)</f>
        <v>6739000</v>
      </c>
    </row>
    <row r="66" spans="1:7" s="405" customFormat="1" ht="26.25" customHeight="1">
      <c r="A66" s="338"/>
      <c r="B66" s="387"/>
      <c r="C66" s="386" t="s">
        <v>258</v>
      </c>
      <c r="D66" s="388" t="s">
        <v>286</v>
      </c>
      <c r="E66" s="725">
        <f>SUM(F66:G66)</f>
        <v>143000</v>
      </c>
      <c r="F66" s="688">
        <v>143000</v>
      </c>
      <c r="G66" s="524"/>
    </row>
    <row r="67" spans="1:7" s="405" customFormat="1" ht="33" customHeight="1">
      <c r="A67" s="338"/>
      <c r="B67" s="387"/>
      <c r="C67" s="386" t="s">
        <v>427</v>
      </c>
      <c r="D67" s="388" t="s">
        <v>428</v>
      </c>
      <c r="E67" s="725">
        <f>SUM(F67:G67)</f>
        <v>27000</v>
      </c>
      <c r="F67" s="726"/>
      <c r="G67" s="727">
        <v>27000</v>
      </c>
    </row>
    <row r="68" spans="1:7" s="405" customFormat="1" ht="33" customHeight="1">
      <c r="A68" s="338"/>
      <c r="B68" s="955"/>
      <c r="C68" s="390" t="s">
        <v>519</v>
      </c>
      <c r="D68" s="428" t="s">
        <v>520</v>
      </c>
      <c r="E68" s="725">
        <f>SUM(F68:G68)</f>
        <v>6712000</v>
      </c>
      <c r="F68" s="688"/>
      <c r="G68" s="760">
        <f>3246000+3466000</f>
        <v>6712000</v>
      </c>
    </row>
    <row r="69" spans="1:7" s="405" customFormat="1" ht="25.5" customHeight="1">
      <c r="A69" s="338"/>
      <c r="B69" s="387"/>
      <c r="C69" s="390" t="s">
        <v>259</v>
      </c>
      <c r="D69" s="428" t="s">
        <v>299</v>
      </c>
      <c r="E69" s="725">
        <f>SUM(F69:G69)</f>
        <v>1000</v>
      </c>
      <c r="F69" s="726">
        <v>1000</v>
      </c>
      <c r="G69" s="727"/>
    </row>
    <row r="70" spans="1:7" s="405" customFormat="1" ht="25.5" customHeight="1" thickBot="1">
      <c r="A70" s="356"/>
      <c r="B70" s="406"/>
      <c r="C70" s="956" t="s">
        <v>260</v>
      </c>
      <c r="D70" s="429" t="s">
        <v>289</v>
      </c>
      <c r="E70" s="736">
        <f>SUM(F70:G70)</f>
        <v>5500</v>
      </c>
      <c r="F70" s="737">
        <v>5500</v>
      </c>
      <c r="G70" s="738"/>
    </row>
    <row r="71" spans="1:7" s="405" customFormat="1" ht="9.75" customHeight="1" thickTop="1">
      <c r="A71" s="338"/>
      <c r="B71" s="387"/>
      <c r="C71" s="213"/>
      <c r="D71" s="430"/>
      <c r="E71" s="644"/>
      <c r="F71" s="688"/>
      <c r="G71" s="524"/>
    </row>
    <row r="72" spans="1:7" s="405" customFormat="1" ht="14.25" customHeight="1">
      <c r="A72" s="338">
        <v>750</v>
      </c>
      <c r="B72" s="353"/>
      <c r="C72" s="409"/>
      <c r="D72" s="427" t="s">
        <v>382</v>
      </c>
      <c r="E72" s="678">
        <f>SUM(E74+E77+E81+E84)</f>
        <v>450092</v>
      </c>
      <c r="F72" s="679">
        <f>SUM(F74+F77+F81+F84)</f>
        <v>27200</v>
      </c>
      <c r="G72" s="680">
        <f>SUM(G74+G77+G81+G84)</f>
        <v>422892</v>
      </c>
    </row>
    <row r="73" spans="1:7" s="405" customFormat="1" ht="12" customHeight="1">
      <c r="A73" s="338"/>
      <c r="B73" s="387"/>
      <c r="C73" s="410"/>
      <c r="D73" s="426"/>
      <c r="E73" s="644"/>
      <c r="F73" s="688"/>
      <c r="G73" s="524"/>
    </row>
    <row r="74" spans="1:7" s="405" customFormat="1" ht="14.25" customHeight="1">
      <c r="A74" s="338"/>
      <c r="B74" s="387">
        <v>75011</v>
      </c>
      <c r="C74" s="409"/>
      <c r="D74" s="427" t="s">
        <v>590</v>
      </c>
      <c r="E74" s="678">
        <f>SUM(E75:E75)</f>
        <v>12500</v>
      </c>
      <c r="F74" s="679">
        <f>SUM(F75:F75)</f>
        <v>12500</v>
      </c>
      <c r="G74" s="680">
        <f>SUM(G75:G75)</f>
        <v>0</v>
      </c>
    </row>
    <row r="75" spans="1:7" s="405" customFormat="1" ht="33.75" customHeight="1">
      <c r="A75" s="338"/>
      <c r="B75" s="354"/>
      <c r="C75" s="408" t="s">
        <v>429</v>
      </c>
      <c r="D75" s="428" t="s">
        <v>432</v>
      </c>
      <c r="E75" s="725">
        <f>SUM(F75:G75)</f>
        <v>12500</v>
      </c>
      <c r="F75" s="726">
        <v>12500</v>
      </c>
      <c r="G75" s="727"/>
    </row>
    <row r="76" spans="1:7" s="405" customFormat="1" ht="12.75">
      <c r="A76" s="338"/>
      <c r="B76" s="387"/>
      <c r="C76" s="418"/>
      <c r="D76" s="430"/>
      <c r="E76" s="644"/>
      <c r="F76" s="688"/>
      <c r="G76" s="524"/>
    </row>
    <row r="77" spans="1:8" s="405" customFormat="1" ht="12.75">
      <c r="A77" s="338"/>
      <c r="B77" s="387">
        <v>75023</v>
      </c>
      <c r="C77" s="391"/>
      <c r="D77" s="388" t="s">
        <v>240</v>
      </c>
      <c r="E77" s="678">
        <f>SUM(E78:E79)</f>
        <v>427592</v>
      </c>
      <c r="F77" s="678">
        <f>SUM(F78:F79)</f>
        <v>4700</v>
      </c>
      <c r="G77" s="680">
        <f>SUM(G78:G79)</f>
        <v>422892</v>
      </c>
      <c r="H77" s="957"/>
    </row>
    <row r="78" spans="1:7" s="405" customFormat="1" ht="25.5" customHeight="1">
      <c r="A78" s="338"/>
      <c r="B78" s="387"/>
      <c r="C78" s="412" t="s">
        <v>260</v>
      </c>
      <c r="D78" s="388" t="s">
        <v>289</v>
      </c>
      <c r="E78" s="725">
        <f>SUM(F78:G78)</f>
        <v>4700</v>
      </c>
      <c r="F78" s="726">
        <v>4700</v>
      </c>
      <c r="G78" s="727"/>
    </row>
    <row r="79" spans="1:7" s="405" customFormat="1" ht="39.75" customHeight="1">
      <c r="A79" s="338"/>
      <c r="B79" s="354"/>
      <c r="C79" s="409">
        <v>6298</v>
      </c>
      <c r="D79" s="388" t="s">
        <v>618</v>
      </c>
      <c r="E79" s="725">
        <f>SUM(F79:G79)</f>
        <v>422892</v>
      </c>
      <c r="F79" s="688"/>
      <c r="G79" s="524">
        <v>422892</v>
      </c>
    </row>
    <row r="80" spans="1:7" s="405" customFormat="1" ht="12.75" hidden="1">
      <c r="A80" s="338"/>
      <c r="B80" s="387"/>
      <c r="C80" s="541"/>
      <c r="D80" s="434"/>
      <c r="E80" s="644"/>
      <c r="F80" s="694"/>
      <c r="G80" s="695"/>
    </row>
    <row r="81" spans="1:7" s="405" customFormat="1" ht="14.25" customHeight="1" hidden="1">
      <c r="A81" s="338"/>
      <c r="B81" s="387">
        <v>75075</v>
      </c>
      <c r="C81" s="409"/>
      <c r="D81" s="427" t="s">
        <v>452</v>
      </c>
      <c r="E81" s="678">
        <f>SUM(E82)</f>
        <v>0</v>
      </c>
      <c r="F81" s="679">
        <f>SUM(F82)</f>
        <v>0</v>
      </c>
      <c r="G81" s="680">
        <f>SUM(G82)</f>
        <v>0</v>
      </c>
    </row>
    <row r="82" spans="1:7" s="405" customFormat="1" ht="44.25" customHeight="1" hidden="1">
      <c r="A82" s="338"/>
      <c r="B82" s="354"/>
      <c r="C82" s="390" t="s">
        <v>373</v>
      </c>
      <c r="D82" s="428" t="s">
        <v>239</v>
      </c>
      <c r="E82" s="735">
        <f>SUM(F82:G82)</f>
        <v>0</v>
      </c>
      <c r="F82" s="688">
        <v>0</v>
      </c>
      <c r="G82" s="524"/>
    </row>
    <row r="83" spans="1:7" s="405" customFormat="1" ht="14.25" customHeight="1">
      <c r="A83" s="338"/>
      <c r="B83" s="425"/>
      <c r="C83" s="958"/>
      <c r="D83" s="959"/>
      <c r="E83" s="701"/>
      <c r="F83" s="694"/>
      <c r="G83" s="695"/>
    </row>
    <row r="84" spans="1:7" s="405" customFormat="1" ht="14.25" customHeight="1">
      <c r="A84" s="338"/>
      <c r="B84" s="387">
        <v>75095</v>
      </c>
      <c r="C84" s="409"/>
      <c r="D84" s="427" t="s">
        <v>407</v>
      </c>
      <c r="E84" s="678">
        <f>SUM(E85:E85)</f>
        <v>10000</v>
      </c>
      <c r="F84" s="678">
        <f>SUM(F85:F85)</f>
        <v>10000</v>
      </c>
      <c r="G84" s="680">
        <f>SUM(G85:G85)</f>
        <v>0</v>
      </c>
    </row>
    <row r="85" spans="1:7" s="405" customFormat="1" ht="42" customHeight="1" thickBot="1">
      <c r="A85" s="339"/>
      <c r="B85" s="415"/>
      <c r="C85" s="795">
        <v>2705</v>
      </c>
      <c r="D85" s="435" t="s">
        <v>239</v>
      </c>
      <c r="E85" s="743">
        <f>SUM(F85:G85)</f>
        <v>10000</v>
      </c>
      <c r="F85" s="960">
        <v>10000</v>
      </c>
      <c r="G85" s="961"/>
    </row>
    <row r="86" spans="1:7" s="674" customFormat="1" ht="14.25" customHeight="1">
      <c r="A86" s="730">
        <v>1</v>
      </c>
      <c r="B86" s="731">
        <v>2</v>
      </c>
      <c r="C86" s="732">
        <v>3</v>
      </c>
      <c r="D86" s="731">
        <v>4</v>
      </c>
      <c r="E86" s="733">
        <v>5</v>
      </c>
      <c r="F86" s="731">
        <v>6</v>
      </c>
      <c r="G86" s="734">
        <v>7</v>
      </c>
    </row>
    <row r="87" spans="1:7" s="664" customFormat="1" ht="8.25" customHeight="1">
      <c r="A87" s="378"/>
      <c r="B87" s="886"/>
      <c r="C87" s="962"/>
      <c r="D87" s="963"/>
      <c r="E87" s="964"/>
      <c r="F87" s="965"/>
      <c r="G87" s="760"/>
    </row>
    <row r="88" spans="1:7" s="664" customFormat="1" ht="14.25" customHeight="1">
      <c r="A88" s="378">
        <v>754</v>
      </c>
      <c r="B88" s="966"/>
      <c r="C88" s="962"/>
      <c r="D88" s="963" t="s">
        <v>408</v>
      </c>
      <c r="E88" s="967"/>
      <c r="F88" s="965"/>
      <c r="G88" s="760"/>
    </row>
    <row r="89" spans="1:7" s="664" customFormat="1" ht="14.25" customHeight="1">
      <c r="A89" s="378"/>
      <c r="B89" s="968"/>
      <c r="C89" s="969"/>
      <c r="D89" s="970" t="s">
        <v>409</v>
      </c>
      <c r="E89" s="820">
        <f>SUM(E91+E94)</f>
        <v>35000</v>
      </c>
      <c r="F89" s="971">
        <f>SUM(F91+F94)</f>
        <v>35000</v>
      </c>
      <c r="G89" s="972">
        <f>SUM(G91+G94)</f>
        <v>0</v>
      </c>
    </row>
    <row r="90" spans="1:7" s="664" customFormat="1" ht="14.25" customHeight="1" hidden="1">
      <c r="A90" s="378"/>
      <c r="B90" s="886"/>
      <c r="C90" s="962"/>
      <c r="D90" s="963"/>
      <c r="E90" s="735"/>
      <c r="F90" s="973"/>
      <c r="G90" s="974"/>
    </row>
    <row r="91" spans="1:7" s="664" customFormat="1" ht="14.25" customHeight="1" hidden="1">
      <c r="A91" s="378"/>
      <c r="B91" s="886">
        <v>75412</v>
      </c>
      <c r="C91" s="969"/>
      <c r="D91" s="970" t="s">
        <v>424</v>
      </c>
      <c r="E91" s="820">
        <f>SUM(E92)</f>
        <v>0</v>
      </c>
      <c r="F91" s="971">
        <f>SUM(F92)</f>
        <v>0</v>
      </c>
      <c r="G91" s="972">
        <f>SUM(G92)</f>
        <v>0</v>
      </c>
    </row>
    <row r="92" spans="1:7" s="664" customFormat="1" ht="25.5" customHeight="1" hidden="1" thickBot="1">
      <c r="A92" s="378"/>
      <c r="B92" s="975"/>
      <c r="C92" s="969">
        <v>6298</v>
      </c>
      <c r="D92" s="976" t="s">
        <v>618</v>
      </c>
      <c r="E92" s="820">
        <f>SUM(F92:G92)</f>
        <v>0</v>
      </c>
      <c r="F92" s="977"/>
      <c r="G92" s="978">
        <v>0</v>
      </c>
    </row>
    <row r="93" spans="1:7" s="664" customFormat="1" ht="14.25" customHeight="1">
      <c r="A93" s="378"/>
      <c r="B93" s="886"/>
      <c r="C93" s="962"/>
      <c r="D93" s="963"/>
      <c r="E93" s="735"/>
      <c r="F93" s="973"/>
      <c r="G93" s="974"/>
    </row>
    <row r="94" spans="1:7" s="664" customFormat="1" ht="14.25" customHeight="1">
      <c r="A94" s="378"/>
      <c r="B94" s="886">
        <v>75416</v>
      </c>
      <c r="C94" s="969"/>
      <c r="D94" s="970" t="s">
        <v>410</v>
      </c>
      <c r="E94" s="820">
        <f>SUM(E95)</f>
        <v>35000</v>
      </c>
      <c r="F94" s="971">
        <f>SUM(F95)</f>
        <v>35000</v>
      </c>
      <c r="G94" s="972">
        <f>SUM(G95)</f>
        <v>0</v>
      </c>
    </row>
    <row r="95" spans="1:7" s="664" customFormat="1" ht="25.5" customHeight="1" thickBot="1">
      <c r="A95" s="979"/>
      <c r="B95" s="980"/>
      <c r="C95" s="981" t="s">
        <v>263</v>
      </c>
      <c r="D95" s="982" t="s">
        <v>619</v>
      </c>
      <c r="E95" s="736">
        <f>SUM(F95:G95)</f>
        <v>35000</v>
      </c>
      <c r="F95" s="983">
        <v>35000</v>
      </c>
      <c r="G95" s="984"/>
    </row>
    <row r="96" spans="1:7" s="664" customFormat="1" ht="9.75" customHeight="1" thickTop="1">
      <c r="A96" s="378"/>
      <c r="B96" s="886"/>
      <c r="C96" s="962"/>
      <c r="D96" s="963"/>
      <c r="E96" s="735"/>
      <c r="F96" s="965"/>
      <c r="G96" s="760"/>
    </row>
    <row r="97" spans="1:7" s="405" customFormat="1" ht="14.25" customHeight="1">
      <c r="A97" s="338">
        <v>756</v>
      </c>
      <c r="B97" s="352"/>
      <c r="C97" s="410"/>
      <c r="D97" s="426" t="s">
        <v>465</v>
      </c>
      <c r="E97" s="644"/>
      <c r="F97" s="688"/>
      <c r="G97" s="524"/>
    </row>
    <row r="98" spans="1:7" s="405" customFormat="1" ht="14.25" customHeight="1">
      <c r="A98" s="338"/>
      <c r="B98" s="352"/>
      <c r="C98" s="410"/>
      <c r="D98" s="426" t="s">
        <v>466</v>
      </c>
      <c r="E98" s="644"/>
      <c r="F98" s="688"/>
      <c r="G98" s="524"/>
    </row>
    <row r="99" spans="1:7" s="405" customFormat="1" ht="14.25" customHeight="1">
      <c r="A99" s="338"/>
      <c r="B99" s="353"/>
      <c r="C99" s="409"/>
      <c r="D99" s="427" t="s">
        <v>167</v>
      </c>
      <c r="E99" s="678">
        <f>SUM(F99:G99)</f>
        <v>67019647</v>
      </c>
      <c r="F99" s="678">
        <f>F101+F106+F119+F135+F145</f>
        <v>67019647</v>
      </c>
      <c r="G99" s="680">
        <f>G101+G106+G119+G135+G145</f>
        <v>0</v>
      </c>
    </row>
    <row r="100" spans="1:7" s="405" customFormat="1" ht="14.25" customHeight="1">
      <c r="A100" s="338"/>
      <c r="B100" s="387"/>
      <c r="C100" s="410"/>
      <c r="D100" s="426"/>
      <c r="E100" s="644"/>
      <c r="F100" s="645"/>
      <c r="G100" s="682"/>
    </row>
    <row r="101" spans="1:7" s="405" customFormat="1" ht="14.25" customHeight="1">
      <c r="A101" s="338"/>
      <c r="B101" s="387">
        <v>75601</v>
      </c>
      <c r="C101" s="409"/>
      <c r="D101" s="427" t="s">
        <v>175</v>
      </c>
      <c r="E101" s="678">
        <f>SUM(E102)</f>
        <v>120000</v>
      </c>
      <c r="F101" s="679">
        <f>SUM(F102)</f>
        <v>120000</v>
      </c>
      <c r="G101" s="680">
        <f>SUM(G102)</f>
        <v>0</v>
      </c>
    </row>
    <row r="102" spans="1:14" s="405" customFormat="1" ht="27.75" customHeight="1">
      <c r="A102" s="341"/>
      <c r="B102" s="354"/>
      <c r="C102" s="421" t="s">
        <v>268</v>
      </c>
      <c r="D102" s="388" t="s">
        <v>306</v>
      </c>
      <c r="E102" s="678">
        <f>SUM(F102:G102)</f>
        <v>120000</v>
      </c>
      <c r="F102" s="686">
        <v>120000</v>
      </c>
      <c r="G102" s="525"/>
      <c r="H102" s="404"/>
      <c r="I102" s="403"/>
      <c r="J102" s="403"/>
      <c r="K102" s="404"/>
      <c r="L102" s="404"/>
      <c r="M102" s="404"/>
      <c r="N102" s="404"/>
    </row>
    <row r="103" spans="1:14" s="405" customFormat="1" ht="10.5" customHeight="1">
      <c r="A103" s="338"/>
      <c r="B103" s="387"/>
      <c r="C103" s="420"/>
      <c r="D103" s="426"/>
      <c r="E103" s="644"/>
      <c r="F103" s="688"/>
      <c r="G103" s="524"/>
      <c r="H103" s="422"/>
      <c r="I103" s="403"/>
      <c r="J103" s="424"/>
      <c r="K103" s="404"/>
      <c r="L103" s="404"/>
      <c r="M103" s="404"/>
      <c r="N103" s="404"/>
    </row>
    <row r="104" spans="1:14" s="405" customFormat="1" ht="14.25" customHeight="1">
      <c r="A104" s="338"/>
      <c r="B104" s="387">
        <v>75615</v>
      </c>
      <c r="C104" s="420"/>
      <c r="D104" s="426" t="s">
        <v>231</v>
      </c>
      <c r="E104" s="644"/>
      <c r="F104" s="688"/>
      <c r="G104" s="524"/>
      <c r="H104" s="422"/>
      <c r="I104" s="403"/>
      <c r="J104" s="424"/>
      <c r="K104" s="404"/>
      <c r="L104" s="404"/>
      <c r="M104" s="404"/>
      <c r="N104" s="404"/>
    </row>
    <row r="105" spans="1:14" s="405" customFormat="1" ht="14.25" customHeight="1">
      <c r="A105" s="338"/>
      <c r="B105" s="387"/>
      <c r="C105" s="420"/>
      <c r="D105" s="426" t="s">
        <v>232</v>
      </c>
      <c r="E105" s="644"/>
      <c r="F105" s="688"/>
      <c r="G105" s="524"/>
      <c r="H105" s="422"/>
      <c r="I105" s="403"/>
      <c r="J105" s="424"/>
      <c r="K105" s="404"/>
      <c r="L105" s="404"/>
      <c r="M105" s="404"/>
      <c r="N105" s="404"/>
    </row>
    <row r="106" spans="1:14" s="405" customFormat="1" ht="14.25" customHeight="1">
      <c r="A106" s="338"/>
      <c r="B106" s="387"/>
      <c r="C106" s="421"/>
      <c r="D106" s="427" t="s">
        <v>663</v>
      </c>
      <c r="E106" s="678">
        <f>SUM(E107:E115)</f>
        <v>35789157</v>
      </c>
      <c r="F106" s="679">
        <f>SUM(F107:F115)</f>
        <v>35789157</v>
      </c>
      <c r="G106" s="680">
        <f>SUM(G107:G115)</f>
        <v>0</v>
      </c>
      <c r="H106" s="422"/>
      <c r="I106" s="403"/>
      <c r="J106" s="424"/>
      <c r="K106" s="404"/>
      <c r="L106" s="404"/>
      <c r="M106" s="404"/>
      <c r="N106" s="404"/>
    </row>
    <row r="107" spans="1:14" s="405" customFormat="1" ht="25.5" customHeight="1">
      <c r="A107" s="338"/>
      <c r="B107" s="387"/>
      <c r="C107" s="423" t="s">
        <v>264</v>
      </c>
      <c r="D107" s="428" t="s">
        <v>302</v>
      </c>
      <c r="E107" s="746">
        <f>SUM(F107:G107)</f>
        <v>35100000</v>
      </c>
      <c r="F107" s="688">
        <v>35100000</v>
      </c>
      <c r="G107" s="524"/>
      <c r="H107" s="422"/>
      <c r="I107" s="403"/>
      <c r="J107" s="424"/>
      <c r="K107" s="404"/>
      <c r="L107" s="404"/>
      <c r="M107" s="404"/>
      <c r="N107" s="404"/>
    </row>
    <row r="108" spans="1:14" s="405" customFormat="1" ht="25.5" customHeight="1">
      <c r="A108" s="338"/>
      <c r="B108" s="387"/>
      <c r="C108" s="421" t="s">
        <v>265</v>
      </c>
      <c r="D108" s="388" t="s">
        <v>303</v>
      </c>
      <c r="E108" s="746">
        <v>45979</v>
      </c>
      <c r="F108" s="726">
        <v>45979</v>
      </c>
      <c r="G108" s="727"/>
      <c r="H108" s="422"/>
      <c r="I108" s="403"/>
      <c r="J108" s="424"/>
      <c r="K108" s="404"/>
      <c r="L108" s="404"/>
      <c r="M108" s="404"/>
      <c r="N108" s="404"/>
    </row>
    <row r="109" spans="1:14" s="405" customFormat="1" ht="25.5" customHeight="1">
      <c r="A109" s="338"/>
      <c r="B109" s="387"/>
      <c r="C109" s="423" t="s">
        <v>266</v>
      </c>
      <c r="D109" s="428" t="s">
        <v>304</v>
      </c>
      <c r="E109" s="746">
        <v>197887</v>
      </c>
      <c r="F109" s="688">
        <v>197887</v>
      </c>
      <c r="G109" s="524"/>
      <c r="H109" s="422"/>
      <c r="I109" s="403"/>
      <c r="J109" s="424"/>
      <c r="K109" s="404"/>
      <c r="L109" s="404"/>
      <c r="M109" s="404"/>
      <c r="N109" s="404"/>
    </row>
    <row r="110" spans="1:14" s="405" customFormat="1" ht="25.5" customHeight="1">
      <c r="A110" s="338"/>
      <c r="B110" s="387"/>
      <c r="C110" s="423" t="s">
        <v>267</v>
      </c>
      <c r="D110" s="428" t="s">
        <v>305</v>
      </c>
      <c r="E110" s="746">
        <f aca="true" t="shared" si="0" ref="E110:E115">SUM(F110:G110)</f>
        <v>166000</v>
      </c>
      <c r="F110" s="726">
        <v>166000</v>
      </c>
      <c r="G110" s="727"/>
      <c r="H110" s="422"/>
      <c r="I110" s="403"/>
      <c r="J110" s="424"/>
      <c r="K110" s="404"/>
      <c r="L110" s="404"/>
      <c r="M110" s="404"/>
      <c r="N110" s="404"/>
    </row>
    <row r="111" spans="1:14" s="405" customFormat="1" ht="25.5" customHeight="1">
      <c r="A111" s="338"/>
      <c r="B111" s="387"/>
      <c r="C111" s="423" t="s">
        <v>276</v>
      </c>
      <c r="D111" s="428" t="s">
        <v>311</v>
      </c>
      <c r="E111" s="746">
        <f t="shared" si="0"/>
        <v>23946</v>
      </c>
      <c r="F111" s="688">
        <v>23946</v>
      </c>
      <c r="G111" s="524"/>
      <c r="H111" s="422"/>
      <c r="I111" s="403"/>
      <c r="J111" s="424"/>
      <c r="K111" s="404"/>
      <c r="L111" s="404"/>
      <c r="M111" s="404"/>
      <c r="N111" s="404"/>
    </row>
    <row r="112" spans="1:14" s="405" customFormat="1" ht="25.5" customHeight="1">
      <c r="A112" s="338"/>
      <c r="B112" s="387"/>
      <c r="C112" s="423" t="s">
        <v>262</v>
      </c>
      <c r="D112" s="428" t="s">
        <v>291</v>
      </c>
      <c r="E112" s="746">
        <f t="shared" si="0"/>
        <v>1300</v>
      </c>
      <c r="F112" s="726">
        <v>1300</v>
      </c>
      <c r="G112" s="727"/>
      <c r="H112" s="422"/>
      <c r="I112" s="403"/>
      <c r="J112" s="404"/>
      <c r="K112" s="404"/>
      <c r="L112" s="404"/>
      <c r="M112" s="404"/>
      <c r="N112" s="404"/>
    </row>
    <row r="113" spans="1:14" s="405" customFormat="1" ht="25.5" customHeight="1">
      <c r="A113" s="338"/>
      <c r="B113" s="387"/>
      <c r="C113" s="423" t="s">
        <v>278</v>
      </c>
      <c r="D113" s="428" t="s">
        <v>331</v>
      </c>
      <c r="E113" s="746">
        <f t="shared" si="0"/>
        <v>252000</v>
      </c>
      <c r="F113" s="688">
        <v>252000</v>
      </c>
      <c r="G113" s="524"/>
      <c r="H113" s="422"/>
      <c r="I113" s="403"/>
      <c r="J113" s="424"/>
      <c r="K113" s="404"/>
      <c r="L113" s="404"/>
      <c r="M113" s="404"/>
      <c r="N113" s="404"/>
    </row>
    <row r="114" spans="1:14" s="405" customFormat="1" ht="25.5" customHeight="1">
      <c r="A114" s="338"/>
      <c r="B114" s="387"/>
      <c r="C114" s="423" t="s">
        <v>260</v>
      </c>
      <c r="D114" s="428" t="s">
        <v>289</v>
      </c>
      <c r="E114" s="746">
        <f t="shared" si="0"/>
        <v>1000</v>
      </c>
      <c r="F114" s="726">
        <v>1000</v>
      </c>
      <c r="G114" s="727"/>
      <c r="H114" s="422"/>
      <c r="I114" s="403"/>
      <c r="J114" s="424"/>
      <c r="K114" s="404"/>
      <c r="L114" s="404"/>
      <c r="M114" s="404"/>
      <c r="N114" s="404"/>
    </row>
    <row r="115" spans="1:14" s="405" customFormat="1" ht="25.5" customHeight="1">
      <c r="A115" s="341"/>
      <c r="B115" s="354"/>
      <c r="C115" s="421" t="s">
        <v>187</v>
      </c>
      <c r="D115" s="388" t="s">
        <v>348</v>
      </c>
      <c r="E115" s="746">
        <f t="shared" si="0"/>
        <v>1045</v>
      </c>
      <c r="F115" s="686">
        <v>1045</v>
      </c>
      <c r="G115" s="525"/>
      <c r="H115" s="422"/>
      <c r="I115" s="403"/>
      <c r="J115" s="424"/>
      <c r="K115" s="404"/>
      <c r="L115" s="404"/>
      <c r="M115" s="404"/>
      <c r="N115" s="404"/>
    </row>
    <row r="116" spans="1:14" s="405" customFormat="1" ht="10.5" customHeight="1">
      <c r="A116" s="338"/>
      <c r="B116" s="387"/>
      <c r="C116" s="420"/>
      <c r="D116" s="430"/>
      <c r="E116" s="644"/>
      <c r="F116" s="688"/>
      <c r="G116" s="524"/>
      <c r="H116" s="422"/>
      <c r="I116" s="403"/>
      <c r="J116" s="424"/>
      <c r="K116" s="404"/>
      <c r="L116" s="404"/>
      <c r="M116" s="404"/>
      <c r="N116" s="404"/>
    </row>
    <row r="117" spans="1:14" s="405" customFormat="1" ht="14.25" customHeight="1">
      <c r="A117" s="338"/>
      <c r="B117" s="387">
        <v>75616</v>
      </c>
      <c r="C117" s="420"/>
      <c r="D117" s="426" t="s">
        <v>443</v>
      </c>
      <c r="E117" s="644"/>
      <c r="F117" s="688"/>
      <c r="G117" s="524"/>
      <c r="H117" s="422"/>
      <c r="I117" s="403"/>
      <c r="J117" s="424"/>
      <c r="K117" s="404"/>
      <c r="L117" s="404"/>
      <c r="M117" s="404"/>
      <c r="N117" s="404"/>
    </row>
    <row r="118" spans="1:14" s="405" customFormat="1" ht="14.25" customHeight="1">
      <c r="A118" s="338"/>
      <c r="B118" s="387"/>
      <c r="C118" s="420"/>
      <c r="D118" s="426" t="s">
        <v>241</v>
      </c>
      <c r="E118" s="644"/>
      <c r="F118" s="688"/>
      <c r="G118" s="524"/>
      <c r="H118" s="422"/>
      <c r="I118" s="403"/>
      <c r="J118" s="424"/>
      <c r="K118" s="404"/>
      <c r="L118" s="404"/>
      <c r="M118" s="404"/>
      <c r="N118" s="404"/>
    </row>
    <row r="119" spans="1:14" s="405" customFormat="1" ht="12.75">
      <c r="A119" s="338"/>
      <c r="B119" s="387"/>
      <c r="C119" s="421"/>
      <c r="D119" s="427" t="s">
        <v>242</v>
      </c>
      <c r="E119" s="678">
        <f>SUM(E120:E132)-E122</f>
        <v>4863612</v>
      </c>
      <c r="F119" s="679">
        <f>SUM(F120:F132)-F122</f>
        <v>4863612</v>
      </c>
      <c r="G119" s="680">
        <f>SUM(G120:G132)-G122</f>
        <v>0</v>
      </c>
      <c r="H119" s="422"/>
      <c r="I119" s="403"/>
      <c r="J119" s="424"/>
      <c r="K119" s="404"/>
      <c r="L119" s="404"/>
      <c r="M119" s="404"/>
      <c r="N119" s="404"/>
    </row>
    <row r="120" spans="1:14" s="405" customFormat="1" ht="25.5" customHeight="1">
      <c r="A120" s="338"/>
      <c r="B120" s="387"/>
      <c r="C120" s="423" t="s">
        <v>264</v>
      </c>
      <c r="D120" s="428" t="s">
        <v>302</v>
      </c>
      <c r="E120" s="746">
        <f aca="true" t="shared" si="1" ref="E120:E132">SUM(F120:G120)</f>
        <v>2820000</v>
      </c>
      <c r="F120" s="688">
        <v>2820000</v>
      </c>
      <c r="G120" s="524"/>
      <c r="H120" s="422"/>
      <c r="I120" s="403"/>
      <c r="J120" s="424"/>
      <c r="K120" s="404"/>
      <c r="L120" s="404"/>
      <c r="M120" s="404"/>
      <c r="N120" s="404"/>
    </row>
    <row r="121" spans="1:14" s="405" customFormat="1" ht="25.5" customHeight="1" thickBot="1">
      <c r="A121" s="339"/>
      <c r="B121" s="415"/>
      <c r="C121" s="985" t="s">
        <v>265</v>
      </c>
      <c r="D121" s="431" t="s">
        <v>303</v>
      </c>
      <c r="E121" s="747">
        <f t="shared" si="1"/>
        <v>221652</v>
      </c>
      <c r="F121" s="728">
        <f>230279-7734-893</f>
        <v>221652</v>
      </c>
      <c r="G121" s="729"/>
      <c r="H121" s="422"/>
      <c r="I121" s="403"/>
      <c r="J121" s="424"/>
      <c r="K121" s="404"/>
      <c r="L121" s="404"/>
      <c r="M121" s="404"/>
      <c r="N121" s="404"/>
    </row>
    <row r="122" spans="1:7" s="674" customFormat="1" ht="14.25" customHeight="1">
      <c r="A122" s="730">
        <v>1</v>
      </c>
      <c r="B122" s="731">
        <v>2</v>
      </c>
      <c r="C122" s="732">
        <v>3</v>
      </c>
      <c r="D122" s="731">
        <v>4</v>
      </c>
      <c r="E122" s="744">
        <v>5</v>
      </c>
      <c r="F122" s="731">
        <v>6</v>
      </c>
      <c r="G122" s="745">
        <v>7</v>
      </c>
    </row>
    <row r="123" spans="1:14" s="405" customFormat="1" ht="25.5" customHeight="1">
      <c r="A123" s="338"/>
      <c r="B123" s="387"/>
      <c r="C123" s="423" t="s">
        <v>266</v>
      </c>
      <c r="D123" s="428" t="s">
        <v>304</v>
      </c>
      <c r="E123" s="746">
        <f t="shared" si="1"/>
        <v>860</v>
      </c>
      <c r="F123" s="688">
        <v>860</v>
      </c>
      <c r="G123" s="524"/>
      <c r="H123" s="404"/>
      <c r="I123" s="404"/>
      <c r="J123" s="404"/>
      <c r="K123" s="404"/>
      <c r="L123" s="404"/>
      <c r="M123" s="404"/>
      <c r="N123" s="404"/>
    </row>
    <row r="124" spans="1:14" s="405" customFormat="1" ht="25.5" customHeight="1">
      <c r="A124" s="338"/>
      <c r="B124" s="387"/>
      <c r="C124" s="423" t="s">
        <v>267</v>
      </c>
      <c r="D124" s="428" t="s">
        <v>305</v>
      </c>
      <c r="E124" s="746">
        <f t="shared" si="1"/>
        <v>150000</v>
      </c>
      <c r="F124" s="726">
        <v>150000</v>
      </c>
      <c r="G124" s="727"/>
      <c r="H124" s="404"/>
      <c r="I124" s="404"/>
      <c r="J124" s="404"/>
      <c r="K124" s="404"/>
      <c r="L124" s="404"/>
      <c r="M124" s="404"/>
      <c r="N124" s="404"/>
    </row>
    <row r="125" spans="1:14" s="405" customFormat="1" ht="25.5" customHeight="1">
      <c r="A125" s="338"/>
      <c r="B125" s="387"/>
      <c r="C125" s="423" t="s">
        <v>269</v>
      </c>
      <c r="D125" s="539" t="s">
        <v>307</v>
      </c>
      <c r="E125" s="746">
        <f t="shared" si="1"/>
        <v>100000</v>
      </c>
      <c r="F125" s="688">
        <v>100000</v>
      </c>
      <c r="G125" s="524"/>
      <c r="H125" s="404"/>
      <c r="I125" s="404"/>
      <c r="J125" s="404"/>
      <c r="K125" s="404"/>
      <c r="L125" s="404"/>
      <c r="M125" s="404"/>
      <c r="N125" s="404"/>
    </row>
    <row r="126" spans="1:14" s="405" customFormat="1" ht="25.5" customHeight="1">
      <c r="A126" s="338"/>
      <c r="B126" s="387"/>
      <c r="C126" s="423" t="s">
        <v>521</v>
      </c>
      <c r="D126" s="428" t="s">
        <v>522</v>
      </c>
      <c r="E126" s="746">
        <f t="shared" si="1"/>
        <v>64000</v>
      </c>
      <c r="F126" s="726">
        <v>64000</v>
      </c>
      <c r="G126" s="727"/>
      <c r="H126" s="422"/>
      <c r="I126" s="403"/>
      <c r="J126" s="424"/>
      <c r="K126" s="404"/>
      <c r="L126" s="404"/>
      <c r="M126" s="404"/>
      <c r="N126" s="404"/>
    </row>
    <row r="127" spans="1:14" s="405" customFormat="1" ht="25.5" customHeight="1">
      <c r="A127" s="338"/>
      <c r="B127" s="387"/>
      <c r="C127" s="423" t="s">
        <v>273</v>
      </c>
      <c r="D127" s="539" t="s">
        <v>309</v>
      </c>
      <c r="E127" s="746">
        <f t="shared" si="1"/>
        <v>168000</v>
      </c>
      <c r="F127" s="688">
        <v>168000</v>
      </c>
      <c r="G127" s="524"/>
      <c r="H127" s="404"/>
      <c r="I127" s="404"/>
      <c r="J127" s="404"/>
      <c r="K127" s="404"/>
      <c r="L127" s="404"/>
      <c r="M127" s="404"/>
      <c r="N127" s="404"/>
    </row>
    <row r="128" spans="1:14" s="405" customFormat="1" ht="25.5" customHeight="1">
      <c r="A128" s="338"/>
      <c r="B128" s="387"/>
      <c r="C128" s="423" t="s">
        <v>276</v>
      </c>
      <c r="D128" s="428" t="s">
        <v>311</v>
      </c>
      <c r="E128" s="746">
        <f t="shared" si="1"/>
        <v>1279000</v>
      </c>
      <c r="F128" s="726">
        <v>1279000</v>
      </c>
      <c r="G128" s="727"/>
      <c r="H128" s="404"/>
      <c r="I128" s="404"/>
      <c r="J128" s="404"/>
      <c r="K128" s="404"/>
      <c r="L128" s="404"/>
      <c r="M128" s="404"/>
      <c r="N128" s="404"/>
    </row>
    <row r="129" spans="1:14" s="405" customFormat="1" ht="25.5" customHeight="1">
      <c r="A129" s="338"/>
      <c r="B129" s="387"/>
      <c r="C129" s="423" t="s">
        <v>277</v>
      </c>
      <c r="D129" s="428" t="s">
        <v>467</v>
      </c>
      <c r="E129" s="746">
        <f t="shared" si="1"/>
        <v>2000</v>
      </c>
      <c r="F129" s="688">
        <v>2000</v>
      </c>
      <c r="G129" s="524"/>
      <c r="H129" s="404"/>
      <c r="I129" s="404"/>
      <c r="J129" s="404"/>
      <c r="K129" s="404"/>
      <c r="L129" s="404"/>
      <c r="M129" s="404"/>
      <c r="N129" s="404"/>
    </row>
    <row r="130" spans="1:14" s="405" customFormat="1" ht="25.5" customHeight="1">
      <c r="A130" s="338"/>
      <c r="B130" s="387"/>
      <c r="C130" s="423" t="s">
        <v>262</v>
      </c>
      <c r="D130" s="428" t="s">
        <v>291</v>
      </c>
      <c r="E130" s="746">
        <f t="shared" si="1"/>
        <v>15500</v>
      </c>
      <c r="F130" s="726">
        <v>15500</v>
      </c>
      <c r="G130" s="727"/>
      <c r="H130" s="404"/>
      <c r="I130" s="404"/>
      <c r="J130" s="404"/>
      <c r="K130" s="404"/>
      <c r="L130" s="404"/>
      <c r="M130" s="404"/>
      <c r="N130" s="404"/>
    </row>
    <row r="131" spans="1:14" s="405" customFormat="1" ht="25.5" customHeight="1">
      <c r="A131" s="338"/>
      <c r="B131" s="387"/>
      <c r="C131" s="423" t="s">
        <v>278</v>
      </c>
      <c r="D131" s="428" t="s">
        <v>331</v>
      </c>
      <c r="E131" s="746">
        <f t="shared" si="1"/>
        <v>40000</v>
      </c>
      <c r="F131" s="688">
        <v>40000</v>
      </c>
      <c r="G131" s="524"/>
      <c r="H131" s="404"/>
      <c r="I131" s="404"/>
      <c r="J131" s="404"/>
      <c r="K131" s="404"/>
      <c r="L131" s="404"/>
      <c r="M131" s="404"/>
      <c r="N131" s="404"/>
    </row>
    <row r="132" spans="1:14" s="405" customFormat="1" ht="25.5" customHeight="1">
      <c r="A132" s="341"/>
      <c r="B132" s="354"/>
      <c r="C132" s="421" t="s">
        <v>260</v>
      </c>
      <c r="D132" s="428" t="s">
        <v>289</v>
      </c>
      <c r="E132" s="746">
        <f t="shared" si="1"/>
        <v>2600</v>
      </c>
      <c r="F132" s="726">
        <v>2600</v>
      </c>
      <c r="G132" s="727"/>
      <c r="H132" s="404"/>
      <c r="I132" s="404"/>
      <c r="J132" s="404"/>
      <c r="K132" s="404"/>
      <c r="L132" s="404"/>
      <c r="M132" s="404"/>
      <c r="N132" s="404"/>
    </row>
    <row r="133" spans="1:14" s="405" customFormat="1" ht="5.25" customHeight="1">
      <c r="A133" s="338"/>
      <c r="B133" s="387"/>
      <c r="C133" s="420"/>
      <c r="D133" s="426"/>
      <c r="E133" s="644"/>
      <c r="F133" s="688"/>
      <c r="G133" s="524"/>
      <c r="H133" s="404"/>
      <c r="I133" s="404"/>
      <c r="J133" s="404"/>
      <c r="K133" s="404"/>
      <c r="L133" s="404"/>
      <c r="M133" s="404"/>
      <c r="N133" s="404"/>
    </row>
    <row r="134" spans="1:14" s="405" customFormat="1" ht="14.25" customHeight="1">
      <c r="A134" s="338"/>
      <c r="B134" s="387">
        <v>75618</v>
      </c>
      <c r="C134" s="420"/>
      <c r="D134" s="426" t="s">
        <v>411</v>
      </c>
      <c r="E134" s="644"/>
      <c r="F134" s="688"/>
      <c r="G134" s="524"/>
      <c r="H134" s="404"/>
      <c r="I134" s="404"/>
      <c r="J134" s="404"/>
      <c r="K134" s="404"/>
      <c r="L134" s="404"/>
      <c r="M134" s="404"/>
      <c r="N134" s="404"/>
    </row>
    <row r="135" spans="1:14" s="405" customFormat="1" ht="14.25" customHeight="1">
      <c r="A135" s="338"/>
      <c r="B135" s="387"/>
      <c r="C135" s="421"/>
      <c r="D135" s="427" t="s">
        <v>653</v>
      </c>
      <c r="E135" s="678">
        <f>SUM(E136:E142)</f>
        <v>1029673</v>
      </c>
      <c r="F135" s="679">
        <f>SUM(F136:F142)</f>
        <v>1029673</v>
      </c>
      <c r="G135" s="680">
        <f>SUM(G136:G142)</f>
        <v>0</v>
      </c>
      <c r="H135" s="404"/>
      <c r="I135" s="404"/>
      <c r="J135" s="404"/>
      <c r="K135" s="404"/>
      <c r="L135" s="404"/>
      <c r="M135" s="404"/>
      <c r="N135" s="404"/>
    </row>
    <row r="136" spans="1:14" s="405" customFormat="1" ht="25.5" customHeight="1">
      <c r="A136" s="338"/>
      <c r="B136" s="387"/>
      <c r="C136" s="423" t="s">
        <v>272</v>
      </c>
      <c r="D136" s="539" t="s">
        <v>308</v>
      </c>
      <c r="E136" s="746">
        <f aca="true" t="shared" si="2" ref="E136:E142">SUM(F136:G136)</f>
        <v>340000</v>
      </c>
      <c r="F136" s="726">
        <v>340000</v>
      </c>
      <c r="G136" s="727"/>
      <c r="H136" s="404"/>
      <c r="I136" s="404"/>
      <c r="J136" s="404"/>
      <c r="K136" s="404"/>
      <c r="L136" s="404"/>
      <c r="M136" s="404"/>
      <c r="N136" s="404"/>
    </row>
    <row r="137" spans="1:14" s="405" customFormat="1" ht="25.5" customHeight="1">
      <c r="A137" s="338"/>
      <c r="B137" s="387"/>
      <c r="C137" s="423" t="s">
        <v>186</v>
      </c>
      <c r="D137" s="539" t="s">
        <v>620</v>
      </c>
      <c r="E137" s="746">
        <f t="shared" si="2"/>
        <v>2000</v>
      </c>
      <c r="F137" s="688">
        <v>2000</v>
      </c>
      <c r="G137" s="524"/>
      <c r="H137" s="404"/>
      <c r="I137" s="404"/>
      <c r="J137" s="404"/>
      <c r="K137" s="404"/>
      <c r="L137" s="404"/>
      <c r="M137" s="404"/>
      <c r="N137" s="404"/>
    </row>
    <row r="138" spans="1:14" s="405" customFormat="1" ht="25.5" customHeight="1">
      <c r="A138" s="338"/>
      <c r="B138" s="387"/>
      <c r="C138" s="423" t="s">
        <v>274</v>
      </c>
      <c r="D138" s="539" t="s">
        <v>621</v>
      </c>
      <c r="E138" s="746">
        <f t="shared" si="2"/>
        <v>629873</v>
      </c>
      <c r="F138" s="726">
        <v>629873</v>
      </c>
      <c r="G138" s="727"/>
      <c r="H138" s="404"/>
      <c r="I138" s="404"/>
      <c r="J138" s="404"/>
      <c r="K138" s="404"/>
      <c r="L138" s="404"/>
      <c r="M138" s="404"/>
      <c r="N138" s="404"/>
    </row>
    <row r="139" spans="1:14" s="405" customFormat="1" ht="30" customHeight="1">
      <c r="A139" s="338"/>
      <c r="B139" s="387"/>
      <c r="C139" s="423" t="s">
        <v>275</v>
      </c>
      <c r="D139" s="428" t="s">
        <v>310</v>
      </c>
      <c r="E139" s="746">
        <f t="shared" si="2"/>
        <v>35000</v>
      </c>
      <c r="F139" s="726">
        <v>35000</v>
      </c>
      <c r="G139" s="727"/>
      <c r="H139" s="404"/>
      <c r="I139" s="404"/>
      <c r="J139" s="404"/>
      <c r="K139" s="404"/>
      <c r="L139" s="404"/>
      <c r="M139" s="404"/>
      <c r="N139" s="404"/>
    </row>
    <row r="140" spans="1:14" s="405" customFormat="1" ht="25.5" customHeight="1">
      <c r="A140" s="338"/>
      <c r="B140" s="387"/>
      <c r="C140" s="423" t="s">
        <v>261</v>
      </c>
      <c r="D140" s="539" t="s">
        <v>290</v>
      </c>
      <c r="E140" s="746">
        <f t="shared" si="2"/>
        <v>1300</v>
      </c>
      <c r="F140" s="688">
        <v>1300</v>
      </c>
      <c r="G140" s="524"/>
      <c r="H140" s="404"/>
      <c r="I140" s="404"/>
      <c r="J140" s="404"/>
      <c r="K140" s="404"/>
      <c r="L140" s="404"/>
      <c r="M140" s="404"/>
      <c r="N140" s="404"/>
    </row>
    <row r="141" spans="1:7" s="405" customFormat="1" ht="25.5" customHeight="1">
      <c r="A141" s="338"/>
      <c r="B141" s="387"/>
      <c r="C141" s="423" t="s">
        <v>262</v>
      </c>
      <c r="D141" s="428" t="s">
        <v>291</v>
      </c>
      <c r="E141" s="746">
        <f t="shared" si="2"/>
        <v>21000</v>
      </c>
      <c r="F141" s="977">
        <f>75000-54000</f>
        <v>21000</v>
      </c>
      <c r="G141" s="727"/>
    </row>
    <row r="142" spans="1:7" s="405" customFormat="1" ht="25.5" customHeight="1">
      <c r="A142" s="341"/>
      <c r="B142" s="354"/>
      <c r="C142" s="421" t="s">
        <v>260</v>
      </c>
      <c r="D142" s="428" t="s">
        <v>289</v>
      </c>
      <c r="E142" s="678">
        <f t="shared" si="2"/>
        <v>500</v>
      </c>
      <c r="F142" s="726">
        <v>500</v>
      </c>
      <c r="G142" s="727"/>
    </row>
    <row r="143" spans="1:7" s="405" customFormat="1" ht="12.75">
      <c r="A143" s="338"/>
      <c r="B143" s="387"/>
      <c r="C143" s="420"/>
      <c r="D143" s="430"/>
      <c r="E143" s="644"/>
      <c r="F143" s="688"/>
      <c r="G143" s="524"/>
    </row>
    <row r="144" spans="1:7" s="405" customFormat="1" ht="14.25" customHeight="1">
      <c r="A144" s="338"/>
      <c r="B144" s="387">
        <v>75621</v>
      </c>
      <c r="C144" s="410"/>
      <c r="D144" s="426" t="s">
        <v>622</v>
      </c>
      <c r="E144" s="740"/>
      <c r="F144" s="688"/>
      <c r="G144" s="524"/>
    </row>
    <row r="145" spans="1:7" s="405" customFormat="1" ht="14.25" customHeight="1">
      <c r="A145" s="338"/>
      <c r="B145" s="387"/>
      <c r="C145" s="409"/>
      <c r="D145" s="427" t="s">
        <v>412</v>
      </c>
      <c r="E145" s="678">
        <f>SUM(E146:E147)</f>
        <v>25217205</v>
      </c>
      <c r="F145" s="679">
        <f>SUM(F146:F147)</f>
        <v>25217205</v>
      </c>
      <c r="G145" s="680">
        <f>SUM(G146:G147)</f>
        <v>0</v>
      </c>
    </row>
    <row r="146" spans="1:7" s="405" customFormat="1" ht="25.5" customHeight="1">
      <c r="A146" s="338"/>
      <c r="B146" s="387"/>
      <c r="C146" s="386" t="s">
        <v>270</v>
      </c>
      <c r="D146" s="388" t="s">
        <v>295</v>
      </c>
      <c r="E146" s="748">
        <f>SUM(F146:G146)</f>
        <v>23849805</v>
      </c>
      <c r="F146" s="977">
        <f>24277561-(10%*24277561)+2000000</f>
        <v>23849805</v>
      </c>
      <c r="G146" s="727"/>
    </row>
    <row r="147" spans="1:7" s="405" customFormat="1" ht="25.5" customHeight="1" thickBot="1">
      <c r="A147" s="339"/>
      <c r="B147" s="415"/>
      <c r="C147" s="986" t="s">
        <v>271</v>
      </c>
      <c r="D147" s="431" t="s">
        <v>296</v>
      </c>
      <c r="E147" s="987">
        <f>SUM(F147:G147)</f>
        <v>1367400</v>
      </c>
      <c r="F147" s="988">
        <v>1367400</v>
      </c>
      <c r="G147" s="729"/>
    </row>
    <row r="148" spans="1:7" s="674" customFormat="1" ht="14.25" customHeight="1">
      <c r="A148" s="730">
        <v>1</v>
      </c>
      <c r="B148" s="731">
        <v>2</v>
      </c>
      <c r="C148" s="732">
        <v>3</v>
      </c>
      <c r="D148" s="731">
        <v>4</v>
      </c>
      <c r="E148" s="744">
        <v>5</v>
      </c>
      <c r="F148" s="731">
        <v>6</v>
      </c>
      <c r="G148" s="745">
        <v>7</v>
      </c>
    </row>
    <row r="149" spans="1:7" s="405" customFormat="1" ht="14.25" customHeight="1">
      <c r="A149" s="338"/>
      <c r="B149" s="352"/>
      <c r="C149" s="410"/>
      <c r="D149" s="426"/>
      <c r="E149" s="644"/>
      <c r="F149" s="688"/>
      <c r="G149" s="524"/>
    </row>
    <row r="150" spans="1:7" s="405" customFormat="1" ht="14.25" customHeight="1">
      <c r="A150" s="338">
        <v>758</v>
      </c>
      <c r="B150" s="353"/>
      <c r="C150" s="409"/>
      <c r="D150" s="427" t="s">
        <v>386</v>
      </c>
      <c r="E150" s="678">
        <f>SUM(E152+E155+E158)</f>
        <v>18306797</v>
      </c>
      <c r="F150" s="679">
        <f>SUM(F152+F155+F158)</f>
        <v>18306797</v>
      </c>
      <c r="G150" s="680">
        <f>SUM(G152+G155+G158)</f>
        <v>0</v>
      </c>
    </row>
    <row r="151" spans="1:7" s="405" customFormat="1" ht="14.25" customHeight="1">
      <c r="A151" s="338"/>
      <c r="B151" s="387"/>
      <c r="C151" s="410"/>
      <c r="D151" s="426"/>
      <c r="E151" s="644"/>
      <c r="F151" s="645"/>
      <c r="G151" s="682"/>
    </row>
    <row r="152" spans="1:7" s="405" customFormat="1" ht="14.25" customHeight="1">
      <c r="A152" s="338"/>
      <c r="B152" s="387">
        <v>75801</v>
      </c>
      <c r="C152" s="409"/>
      <c r="D152" s="427" t="s">
        <v>25</v>
      </c>
      <c r="E152" s="678">
        <f>SUM(E153)</f>
        <v>17181296</v>
      </c>
      <c r="F152" s="679">
        <f>SUM(F153)</f>
        <v>17181296</v>
      </c>
      <c r="G152" s="680">
        <f>SUM(G153)</f>
        <v>0</v>
      </c>
    </row>
    <row r="153" spans="1:7" s="405" customFormat="1" ht="25.5" customHeight="1">
      <c r="A153" s="338"/>
      <c r="B153" s="354"/>
      <c r="C153" s="408" t="s">
        <v>279</v>
      </c>
      <c r="D153" s="428" t="s">
        <v>332</v>
      </c>
      <c r="E153" s="746">
        <f>SUM(F153:G153)</f>
        <v>17181296</v>
      </c>
      <c r="F153" s="726">
        <v>17181296</v>
      </c>
      <c r="G153" s="727"/>
    </row>
    <row r="154" spans="1:7" s="405" customFormat="1" ht="14.25" customHeight="1">
      <c r="A154" s="338"/>
      <c r="B154" s="387"/>
      <c r="C154" s="410"/>
      <c r="D154" s="426"/>
      <c r="E154" s="644"/>
      <c r="F154" s="688"/>
      <c r="G154" s="524"/>
    </row>
    <row r="155" spans="1:7" s="405" customFormat="1" ht="14.25" customHeight="1">
      <c r="A155" s="338"/>
      <c r="B155" s="387">
        <v>75814</v>
      </c>
      <c r="C155" s="409"/>
      <c r="D155" s="427" t="s">
        <v>570</v>
      </c>
      <c r="E155" s="678">
        <f>SUM(E156)</f>
        <v>300000</v>
      </c>
      <c r="F155" s="679">
        <f>SUM(F156)</f>
        <v>300000</v>
      </c>
      <c r="G155" s="680">
        <f>SUM(G156)</f>
        <v>0</v>
      </c>
    </row>
    <row r="156" spans="1:7" s="405" customFormat="1" ht="25.5" customHeight="1">
      <c r="A156" s="338"/>
      <c r="B156" s="354"/>
      <c r="C156" s="407" t="s">
        <v>259</v>
      </c>
      <c r="D156" s="388" t="s">
        <v>299</v>
      </c>
      <c r="E156" s="678">
        <f>SUM(F156:G156)</f>
        <v>300000</v>
      </c>
      <c r="F156" s="679">
        <v>300000</v>
      </c>
      <c r="G156" s="680"/>
    </row>
    <row r="157" spans="1:7" s="405" customFormat="1" ht="14.25" customHeight="1">
      <c r="A157" s="338"/>
      <c r="B157" s="387"/>
      <c r="C157" s="410"/>
      <c r="D157" s="426"/>
      <c r="E157" s="644"/>
      <c r="F157" s="645"/>
      <c r="G157" s="682"/>
    </row>
    <row r="158" spans="1:7" s="405" customFormat="1" ht="14.25" customHeight="1">
      <c r="A158" s="338"/>
      <c r="B158" s="387">
        <v>75831</v>
      </c>
      <c r="C158" s="409"/>
      <c r="D158" s="427" t="s">
        <v>26</v>
      </c>
      <c r="E158" s="678">
        <f>SUM(E159)</f>
        <v>825501</v>
      </c>
      <c r="F158" s="679">
        <f>SUM(F159)</f>
        <v>825501</v>
      </c>
      <c r="G158" s="680">
        <f>SUM(G159)</f>
        <v>0</v>
      </c>
    </row>
    <row r="159" spans="1:7" s="405" customFormat="1" ht="25.5" customHeight="1" thickBot="1">
      <c r="A159" s="356"/>
      <c r="B159" s="406"/>
      <c r="C159" s="392" t="s">
        <v>279</v>
      </c>
      <c r="D159" s="389" t="s">
        <v>332</v>
      </c>
      <c r="E159" s="741">
        <f>SUM(F159:G159)</f>
        <v>825501</v>
      </c>
      <c r="F159" s="737">
        <v>825501</v>
      </c>
      <c r="G159" s="738"/>
    </row>
    <row r="160" spans="1:7" s="405" customFormat="1" ht="14.25" customHeight="1" thickTop="1">
      <c r="A160" s="338"/>
      <c r="B160" s="387"/>
      <c r="C160" s="212"/>
      <c r="D160" s="432"/>
      <c r="E160" s="644"/>
      <c r="F160" s="688"/>
      <c r="G160" s="524"/>
    </row>
    <row r="161" spans="1:7" s="405" customFormat="1" ht="12.75">
      <c r="A161" s="338">
        <v>801</v>
      </c>
      <c r="B161" s="353"/>
      <c r="C161" s="409"/>
      <c r="D161" s="427" t="s">
        <v>387</v>
      </c>
      <c r="E161" s="678">
        <f>SUM(E163+E166+E169)</f>
        <v>35200</v>
      </c>
      <c r="F161" s="679">
        <f>SUM(F163+F166+F169)</f>
        <v>35200</v>
      </c>
      <c r="G161" s="680">
        <f>SUM(G163+G166+G169)</f>
        <v>0</v>
      </c>
    </row>
    <row r="162" spans="1:7" s="405" customFormat="1" ht="12.75">
      <c r="A162" s="338"/>
      <c r="B162" s="352"/>
      <c r="C162" s="410"/>
      <c r="D162" s="426"/>
      <c r="E162" s="644"/>
      <c r="F162" s="645"/>
      <c r="G162" s="682"/>
    </row>
    <row r="163" spans="1:7" s="405" customFormat="1" ht="12.75">
      <c r="A163" s="338"/>
      <c r="B163" s="387">
        <v>80101</v>
      </c>
      <c r="C163" s="409"/>
      <c r="D163" s="427" t="s">
        <v>413</v>
      </c>
      <c r="E163" s="678">
        <f>SUM(E164:E164)</f>
        <v>2400</v>
      </c>
      <c r="F163" s="678">
        <f>SUM(F164:F164)</f>
        <v>2400</v>
      </c>
      <c r="G163" s="680">
        <f>SUM(G164:G164)</f>
        <v>0</v>
      </c>
    </row>
    <row r="164" spans="1:7" s="405" customFormat="1" ht="38.25">
      <c r="A164" s="338"/>
      <c r="B164" s="354"/>
      <c r="C164" s="421" t="s">
        <v>315</v>
      </c>
      <c r="D164" s="388" t="s">
        <v>239</v>
      </c>
      <c r="E164" s="746">
        <f>SUM(F164:G164)</f>
        <v>2400</v>
      </c>
      <c r="F164" s="726">
        <v>2400</v>
      </c>
      <c r="G164" s="727"/>
    </row>
    <row r="165" spans="1:7" s="405" customFormat="1" ht="12.75">
      <c r="A165" s="338"/>
      <c r="B165" s="387"/>
      <c r="C165" s="410"/>
      <c r="D165" s="426"/>
      <c r="E165" s="644"/>
      <c r="F165" s="688"/>
      <c r="G165" s="524"/>
    </row>
    <row r="166" spans="1:7" s="405" customFormat="1" ht="12.75">
      <c r="A166" s="338"/>
      <c r="B166" s="387">
        <v>80110</v>
      </c>
      <c r="C166" s="409"/>
      <c r="D166" s="427" t="s">
        <v>414</v>
      </c>
      <c r="E166" s="678">
        <f>SUM(E167:E167)</f>
        <v>800</v>
      </c>
      <c r="F166" s="679">
        <f>SUM(F167:F167)</f>
        <v>800</v>
      </c>
      <c r="G166" s="680">
        <f>SUM(G167:G167)</f>
        <v>0</v>
      </c>
    </row>
    <row r="167" spans="1:7" s="405" customFormat="1" ht="38.25">
      <c r="A167" s="341"/>
      <c r="B167" s="354"/>
      <c r="C167" s="421" t="s">
        <v>315</v>
      </c>
      <c r="D167" s="388" t="s">
        <v>239</v>
      </c>
      <c r="E167" s="678">
        <f>SUM(F167:G167)</f>
        <v>800</v>
      </c>
      <c r="F167" s="686">
        <v>800</v>
      </c>
      <c r="G167" s="525"/>
    </row>
    <row r="168" spans="1:7" s="405" customFormat="1" ht="12.75">
      <c r="A168" s="338"/>
      <c r="B168" s="387"/>
      <c r="C168" s="420"/>
      <c r="D168" s="430"/>
      <c r="E168" s="644"/>
      <c r="F168" s="688"/>
      <c r="G168" s="524"/>
    </row>
    <row r="169" spans="1:7" s="405" customFormat="1" ht="12.75">
      <c r="A169" s="338"/>
      <c r="B169" s="387">
        <v>80195</v>
      </c>
      <c r="C169" s="421"/>
      <c r="D169" s="388" t="s">
        <v>407</v>
      </c>
      <c r="E169" s="678">
        <f>SUM(E170)</f>
        <v>32000</v>
      </c>
      <c r="F169" s="686">
        <f>SUM(F170)</f>
        <v>32000</v>
      </c>
      <c r="G169" s="525">
        <f>SUM(G170)</f>
        <v>0</v>
      </c>
    </row>
    <row r="170" spans="1:7" s="405" customFormat="1" ht="35.25" customHeight="1" thickBot="1">
      <c r="A170" s="419"/>
      <c r="B170" s="406"/>
      <c r="C170" s="749" t="s">
        <v>163</v>
      </c>
      <c r="D170" s="389" t="s">
        <v>369</v>
      </c>
      <c r="E170" s="741">
        <f>SUM(F170:G170)</f>
        <v>32000</v>
      </c>
      <c r="F170" s="750">
        <v>32000</v>
      </c>
      <c r="G170" s="751"/>
    </row>
    <row r="171" spans="1:7" s="405" customFormat="1" ht="14.25" customHeight="1" thickTop="1">
      <c r="A171" s="338"/>
      <c r="B171" s="352"/>
      <c r="C171" s="410"/>
      <c r="D171" s="426"/>
      <c r="E171" s="740"/>
      <c r="F171" s="688"/>
      <c r="G171" s="752"/>
    </row>
    <row r="172" spans="1:7" s="405" customFormat="1" ht="14.25" customHeight="1">
      <c r="A172" s="338">
        <v>851</v>
      </c>
      <c r="B172" s="353"/>
      <c r="C172" s="409"/>
      <c r="D172" s="427" t="s">
        <v>388</v>
      </c>
      <c r="E172" s="678">
        <f>SUM(E174)</f>
        <v>1508</v>
      </c>
      <c r="F172" s="679">
        <f>SUM(F174)</f>
        <v>1508</v>
      </c>
      <c r="G172" s="680">
        <f>SUM(G174)</f>
        <v>0</v>
      </c>
    </row>
    <row r="173" spans="1:7" s="405" customFormat="1" ht="14.25" customHeight="1">
      <c r="A173" s="338"/>
      <c r="B173" s="387"/>
      <c r="C173" s="410"/>
      <c r="D173" s="426"/>
      <c r="E173" s="644"/>
      <c r="F173" s="645"/>
      <c r="G173" s="682"/>
    </row>
    <row r="174" spans="1:7" s="405" customFormat="1" ht="14.25" customHeight="1">
      <c r="A174" s="338"/>
      <c r="B174" s="387">
        <v>85195</v>
      </c>
      <c r="C174" s="409"/>
      <c r="D174" s="427" t="s">
        <v>407</v>
      </c>
      <c r="E174" s="678">
        <f>SUM(E175:E175)</f>
        <v>1508</v>
      </c>
      <c r="F174" s="679">
        <f>SUM(F175:F175)</f>
        <v>1508</v>
      </c>
      <c r="G174" s="680">
        <f>SUM(G175:G175)</f>
        <v>0</v>
      </c>
    </row>
    <row r="175" spans="1:7" s="664" customFormat="1" ht="42" customHeight="1" thickBot="1">
      <c r="A175" s="979"/>
      <c r="B175" s="980"/>
      <c r="C175" s="981" t="s">
        <v>282</v>
      </c>
      <c r="D175" s="989" t="s">
        <v>190</v>
      </c>
      <c r="E175" s="990">
        <f>SUM(F175:G175)</f>
        <v>1508</v>
      </c>
      <c r="F175" s="991">
        <v>1508</v>
      </c>
      <c r="G175" s="992"/>
    </row>
    <row r="176" spans="1:7" s="405" customFormat="1" ht="14.25" customHeight="1" thickTop="1">
      <c r="A176" s="338"/>
      <c r="B176" s="352"/>
      <c r="C176" s="213"/>
      <c r="D176" s="432"/>
      <c r="E176" s="644"/>
      <c r="F176" s="688"/>
      <c r="G176" s="524"/>
    </row>
    <row r="177" spans="1:7" s="405" customFormat="1" ht="14.25" customHeight="1">
      <c r="A177" s="338">
        <v>852</v>
      </c>
      <c r="B177" s="353"/>
      <c r="C177" s="409"/>
      <c r="D177" s="427" t="s">
        <v>164</v>
      </c>
      <c r="E177" s="678">
        <f>SUM(E180+E183+E187+E190+E194)</f>
        <v>1332350</v>
      </c>
      <c r="F177" s="679">
        <f>SUM(F180+F183+F187+F190+F194)</f>
        <v>1332350</v>
      </c>
      <c r="G177" s="680">
        <f>SUM(G180+G183+G187+G190+G194)</f>
        <v>0</v>
      </c>
    </row>
    <row r="178" spans="1:7" s="405" customFormat="1" ht="14.25" customHeight="1">
      <c r="A178" s="338"/>
      <c r="B178" s="387"/>
      <c r="C178" s="410"/>
      <c r="D178" s="426"/>
      <c r="E178" s="701"/>
      <c r="F178" s="753"/>
      <c r="G178" s="754"/>
    </row>
    <row r="179" spans="1:7" s="405" customFormat="1" ht="14.25" customHeight="1">
      <c r="A179" s="338"/>
      <c r="B179" s="387">
        <v>85212</v>
      </c>
      <c r="C179" s="410"/>
      <c r="D179" s="426" t="s">
        <v>116</v>
      </c>
      <c r="E179" s="644"/>
      <c r="F179" s="645"/>
      <c r="G179" s="682"/>
    </row>
    <row r="180" spans="1:7" s="405" customFormat="1" ht="14.25" customHeight="1">
      <c r="A180" s="338"/>
      <c r="B180" s="387"/>
      <c r="C180" s="409"/>
      <c r="D180" s="427" t="s">
        <v>444</v>
      </c>
      <c r="E180" s="678">
        <f>SUM(E181)</f>
        <v>50000</v>
      </c>
      <c r="F180" s="679">
        <f>SUM(F181)</f>
        <v>50000</v>
      </c>
      <c r="G180" s="680">
        <f>SUM(G181)</f>
        <v>0</v>
      </c>
    </row>
    <row r="181" spans="1:7" s="405" customFormat="1" ht="33" customHeight="1" thickBot="1">
      <c r="A181" s="1264"/>
      <c r="B181" s="415"/>
      <c r="C181" s="1265" t="s">
        <v>429</v>
      </c>
      <c r="D181" s="431" t="s">
        <v>432</v>
      </c>
      <c r="E181" s="743">
        <f>SUM(F181:G181)</f>
        <v>50000</v>
      </c>
      <c r="F181" s="728">
        <v>50000</v>
      </c>
      <c r="G181" s="729"/>
    </row>
    <row r="182" spans="1:7" s="674" customFormat="1" ht="14.25" customHeight="1">
      <c r="A182" s="730">
        <v>1</v>
      </c>
      <c r="B182" s="731">
        <v>2</v>
      </c>
      <c r="C182" s="732">
        <v>3</v>
      </c>
      <c r="D182" s="731">
        <v>4</v>
      </c>
      <c r="E182" s="744">
        <v>5</v>
      </c>
      <c r="F182" s="731">
        <v>6</v>
      </c>
      <c r="G182" s="745">
        <v>7</v>
      </c>
    </row>
    <row r="183" spans="1:7" s="405" customFormat="1" ht="21" customHeight="1">
      <c r="A183" s="338"/>
      <c r="B183" s="387">
        <v>85214</v>
      </c>
      <c r="C183" s="409"/>
      <c r="D183" s="427" t="s">
        <v>27</v>
      </c>
      <c r="E183" s="678">
        <f>SUM(E184:E185)</f>
        <v>361000</v>
      </c>
      <c r="F183" s="679">
        <f>SUM(F184:F185)</f>
        <v>361000</v>
      </c>
      <c r="G183" s="680">
        <f>SUM(G184:G185)</f>
        <v>0</v>
      </c>
    </row>
    <row r="184" spans="1:7" s="405" customFormat="1" ht="25.5" customHeight="1">
      <c r="A184" s="338"/>
      <c r="B184" s="387"/>
      <c r="C184" s="386" t="s">
        <v>260</v>
      </c>
      <c r="D184" s="430" t="s">
        <v>289</v>
      </c>
      <c r="E184" s="678">
        <f>SUM(F184:G184)</f>
        <v>5000</v>
      </c>
      <c r="F184" s="726">
        <v>5000</v>
      </c>
      <c r="G184" s="727"/>
    </row>
    <row r="185" spans="1:7" s="405" customFormat="1" ht="34.5" customHeight="1">
      <c r="A185" s="338"/>
      <c r="B185" s="354"/>
      <c r="C185" s="408" t="s">
        <v>163</v>
      </c>
      <c r="D185" s="428" t="s">
        <v>369</v>
      </c>
      <c r="E185" s="678">
        <f>SUM(F185:G185)</f>
        <v>356000</v>
      </c>
      <c r="F185" s="686">
        <v>356000</v>
      </c>
      <c r="G185" s="525"/>
    </row>
    <row r="186" spans="1:7" s="674" customFormat="1" ht="14.25" customHeight="1">
      <c r="A186" s="755"/>
      <c r="B186" s="756"/>
      <c r="C186" s="757"/>
      <c r="D186" s="756"/>
      <c r="E186" s="1250"/>
      <c r="F186" s="756"/>
      <c r="G186" s="1251"/>
    </row>
    <row r="187" spans="1:7" s="405" customFormat="1" ht="17.25" customHeight="1">
      <c r="A187" s="338"/>
      <c r="B187" s="387">
        <v>85219</v>
      </c>
      <c r="C187" s="409"/>
      <c r="D187" s="427" t="s">
        <v>250</v>
      </c>
      <c r="E187" s="678">
        <f>SUM(E188)</f>
        <v>549000</v>
      </c>
      <c r="F187" s="679">
        <f>SUM(F188)</f>
        <v>549000</v>
      </c>
      <c r="G187" s="680">
        <f>SUM(G188)</f>
        <v>0</v>
      </c>
    </row>
    <row r="188" spans="1:7" s="405" customFormat="1" ht="33.75" customHeight="1">
      <c r="A188" s="338"/>
      <c r="B188" s="354"/>
      <c r="C188" s="408" t="s">
        <v>163</v>
      </c>
      <c r="D188" s="428" t="s">
        <v>369</v>
      </c>
      <c r="E188" s="678">
        <f>SUM(F188:G188)</f>
        <v>549000</v>
      </c>
      <c r="F188" s="688">
        <v>549000</v>
      </c>
      <c r="G188" s="524"/>
    </row>
    <row r="189" spans="1:7" s="405" customFormat="1" ht="14.25" customHeight="1">
      <c r="A189" s="338"/>
      <c r="B189" s="387"/>
      <c r="C189" s="213"/>
      <c r="D189" s="432"/>
      <c r="E189" s="644"/>
      <c r="F189" s="694"/>
      <c r="G189" s="695"/>
    </row>
    <row r="190" spans="1:7" s="405" customFormat="1" ht="14.25" customHeight="1">
      <c r="A190" s="338"/>
      <c r="B190" s="387">
        <v>85228</v>
      </c>
      <c r="C190" s="409"/>
      <c r="D190" s="427" t="s">
        <v>169</v>
      </c>
      <c r="E190" s="678">
        <f>SUM(E191:E192)</f>
        <v>50350</v>
      </c>
      <c r="F190" s="679">
        <f>SUM(F191:F192)</f>
        <v>50350</v>
      </c>
      <c r="G190" s="680">
        <f>SUM(G191:G192)</f>
        <v>0</v>
      </c>
    </row>
    <row r="191" spans="1:7" s="405" customFormat="1" ht="25.5" customHeight="1">
      <c r="A191" s="338"/>
      <c r="B191" s="387"/>
      <c r="C191" s="386" t="s">
        <v>280</v>
      </c>
      <c r="D191" s="388" t="s">
        <v>297</v>
      </c>
      <c r="E191" s="678">
        <f>SUM(F191:G191)</f>
        <v>50000</v>
      </c>
      <c r="F191" s="688">
        <v>50000</v>
      </c>
      <c r="G191" s="524"/>
    </row>
    <row r="192" spans="1:7" s="405" customFormat="1" ht="34.5" customHeight="1">
      <c r="A192" s="338"/>
      <c r="B192" s="354"/>
      <c r="C192" s="386" t="s">
        <v>429</v>
      </c>
      <c r="D192" s="428" t="s">
        <v>432</v>
      </c>
      <c r="E192" s="678">
        <f>SUM(F192:G192)</f>
        <v>350</v>
      </c>
      <c r="F192" s="726">
        <v>350</v>
      </c>
      <c r="G192" s="727"/>
    </row>
    <row r="193" spans="1:7" s="405" customFormat="1" ht="14.25" customHeight="1">
      <c r="A193" s="338"/>
      <c r="B193" s="387"/>
      <c r="C193" s="410"/>
      <c r="D193" s="426"/>
      <c r="E193" s="644"/>
      <c r="F193" s="688"/>
      <c r="G193" s="524"/>
    </row>
    <row r="194" spans="1:7" s="405" customFormat="1" ht="14.25" customHeight="1">
      <c r="A194" s="338"/>
      <c r="B194" s="387">
        <v>85295</v>
      </c>
      <c r="C194" s="409"/>
      <c r="D194" s="427" t="s">
        <v>407</v>
      </c>
      <c r="E194" s="678">
        <f>SUM(E195:E196)</f>
        <v>322000</v>
      </c>
      <c r="F194" s="678">
        <f>SUM(F195:F196)</f>
        <v>322000</v>
      </c>
      <c r="G194" s="680">
        <f>SUM(G195:G196)</f>
        <v>0</v>
      </c>
    </row>
    <row r="195" spans="1:7" s="405" customFormat="1" ht="36.75" customHeight="1" thickBot="1">
      <c r="A195" s="356"/>
      <c r="B195" s="406"/>
      <c r="C195" s="956" t="s">
        <v>163</v>
      </c>
      <c r="D195" s="429" t="s">
        <v>369</v>
      </c>
      <c r="E195" s="765">
        <f>SUM(F195:G195)</f>
        <v>322000</v>
      </c>
      <c r="F195" s="737">
        <v>322000</v>
      </c>
      <c r="G195" s="738"/>
    </row>
    <row r="196" spans="1:7" s="405" customFormat="1" ht="36.75" customHeight="1" hidden="1">
      <c r="A196" s="339"/>
      <c r="B196" s="415"/>
      <c r="C196" s="742" t="s">
        <v>373</v>
      </c>
      <c r="D196" s="435" t="s">
        <v>239</v>
      </c>
      <c r="E196" s="743">
        <f>SUM(F196:G196)</f>
        <v>0</v>
      </c>
      <c r="F196" s="702">
        <v>0</v>
      </c>
      <c r="G196" s="703"/>
    </row>
    <row r="197" spans="1:7" s="761" customFormat="1" ht="14.25" customHeight="1" thickTop="1">
      <c r="A197" s="755"/>
      <c r="B197" s="756"/>
      <c r="C197" s="757"/>
      <c r="D197" s="756"/>
      <c r="E197" s="758"/>
      <c r="F197" s="759"/>
      <c r="G197" s="760"/>
    </row>
    <row r="198" spans="1:7" s="405" customFormat="1" ht="14.25" customHeight="1">
      <c r="A198" s="338">
        <v>853</v>
      </c>
      <c r="B198" s="352"/>
      <c r="C198" s="409"/>
      <c r="D198" s="427" t="s">
        <v>523</v>
      </c>
      <c r="E198" s="678">
        <f>SUM(E200)</f>
        <v>582124</v>
      </c>
      <c r="F198" s="678">
        <f>SUM(F200)</f>
        <v>582124</v>
      </c>
      <c r="G198" s="680">
        <f>SUM(G200)</f>
        <v>0</v>
      </c>
    </row>
    <row r="199" spans="1:7" s="405" customFormat="1" ht="12.75">
      <c r="A199" s="338"/>
      <c r="B199" s="425"/>
      <c r="C199" s="788"/>
      <c r="D199" s="430"/>
      <c r="E199" s="644"/>
      <c r="F199" s="688"/>
      <c r="G199" s="524"/>
    </row>
    <row r="200" spans="1:7" s="405" customFormat="1" ht="12.75">
      <c r="A200" s="338"/>
      <c r="B200" s="387">
        <v>85395</v>
      </c>
      <c r="C200" s="789"/>
      <c r="D200" s="388" t="s">
        <v>407</v>
      </c>
      <c r="E200" s="644">
        <f>SUM(E201:E202)</f>
        <v>582124</v>
      </c>
      <c r="F200" s="644">
        <f>SUM(F201:F202)</f>
        <v>582124</v>
      </c>
      <c r="G200" s="682">
        <f>SUM(G201:G202)</f>
        <v>0</v>
      </c>
    </row>
    <row r="201" spans="1:7" s="405" customFormat="1" ht="26.25" customHeight="1">
      <c r="A201" s="338"/>
      <c r="B201" s="387"/>
      <c r="C201" s="993">
        <v>2008</v>
      </c>
      <c r="D201" s="976" t="s">
        <v>468</v>
      </c>
      <c r="E201" s="994">
        <f>F201+G201</f>
        <v>494806</v>
      </c>
      <c r="F201" s="726">
        <v>494806</v>
      </c>
      <c r="G201" s="727"/>
    </row>
    <row r="202" spans="1:7" s="405" customFormat="1" ht="22.5" customHeight="1" thickBot="1">
      <c r="A202" s="356"/>
      <c r="B202" s="406"/>
      <c r="C202" s="995">
        <v>2009</v>
      </c>
      <c r="D202" s="982" t="s">
        <v>468</v>
      </c>
      <c r="E202" s="741">
        <f>F202+G202</f>
        <v>87318</v>
      </c>
      <c r="F202" s="750">
        <v>87318</v>
      </c>
      <c r="G202" s="751"/>
    </row>
    <row r="203" spans="1:7" s="405" customFormat="1" ht="14.25" customHeight="1" thickTop="1">
      <c r="A203" s="338"/>
      <c r="B203" s="387"/>
      <c r="C203" s="410"/>
      <c r="D203" s="426"/>
      <c r="E203" s="644"/>
      <c r="F203" s="688"/>
      <c r="G203" s="524"/>
    </row>
    <row r="204" spans="1:7" s="405" customFormat="1" ht="14.25" customHeight="1">
      <c r="A204" s="338">
        <v>900</v>
      </c>
      <c r="B204" s="353"/>
      <c r="C204" s="409"/>
      <c r="D204" s="427" t="s">
        <v>284</v>
      </c>
      <c r="E204" s="678">
        <f>SUM(E206+E210+E216+E221+E224)</f>
        <v>11453516</v>
      </c>
      <c r="F204" s="679">
        <f>SUM(F206+F210+F216+F221+F224)</f>
        <v>2969557</v>
      </c>
      <c r="G204" s="680">
        <f>SUM(G206+G210+G216+G221+G224)</f>
        <v>8483959</v>
      </c>
    </row>
    <row r="205" spans="1:7" s="405" customFormat="1" ht="14.25" customHeight="1">
      <c r="A205" s="338"/>
      <c r="B205" s="387"/>
      <c r="C205" s="410"/>
      <c r="D205" s="426"/>
      <c r="E205" s="644"/>
      <c r="F205" s="645"/>
      <c r="G205" s="682"/>
    </row>
    <row r="206" spans="1:7" s="405" customFormat="1" ht="14.25" customHeight="1">
      <c r="A206" s="338"/>
      <c r="B206" s="387">
        <v>90001</v>
      </c>
      <c r="C206" s="409"/>
      <c r="D206" s="427" t="s">
        <v>585</v>
      </c>
      <c r="E206" s="678">
        <f>SUM(E207:E208)</f>
        <v>1600000</v>
      </c>
      <c r="F206" s="678">
        <f>SUM(F207:F208)</f>
        <v>0</v>
      </c>
      <c r="G206" s="680">
        <f>SUM(G207:G208)</f>
        <v>1600000</v>
      </c>
    </row>
    <row r="207" spans="1:7" s="664" customFormat="1" ht="29.25" customHeight="1">
      <c r="A207" s="378"/>
      <c r="B207" s="886"/>
      <c r="C207" s="996">
        <v>6208</v>
      </c>
      <c r="D207" s="976" t="s">
        <v>469</v>
      </c>
      <c r="E207" s="820">
        <f>SUM(F207:G207)</f>
        <v>500000</v>
      </c>
      <c r="F207" s="820"/>
      <c r="G207" s="972">
        <v>500000</v>
      </c>
    </row>
    <row r="208" spans="1:7" s="664" customFormat="1" ht="43.5" customHeight="1">
      <c r="A208" s="378"/>
      <c r="B208" s="975"/>
      <c r="C208" s="997">
        <v>6260</v>
      </c>
      <c r="D208" s="998" t="s">
        <v>283</v>
      </c>
      <c r="E208" s="725">
        <f>SUM(F208:G208)</f>
        <v>1100000</v>
      </c>
      <c r="F208" s="977"/>
      <c r="G208" s="978">
        <f>1700000-100000-500000</f>
        <v>1100000</v>
      </c>
    </row>
    <row r="209" spans="1:7" s="405" customFormat="1" ht="14.25" customHeight="1">
      <c r="A209" s="338"/>
      <c r="B209" s="387"/>
      <c r="C209" s="410"/>
      <c r="D209" s="426"/>
      <c r="E209" s="644"/>
      <c r="F209" s="688"/>
      <c r="G209" s="524"/>
    </row>
    <row r="210" spans="1:7" s="664" customFormat="1" ht="14.25" customHeight="1">
      <c r="A210" s="378"/>
      <c r="B210" s="886">
        <v>90002</v>
      </c>
      <c r="C210" s="969"/>
      <c r="D210" s="970" t="s">
        <v>417</v>
      </c>
      <c r="E210" s="820">
        <f>SUM(E211:E214)</f>
        <v>2125000</v>
      </c>
      <c r="F210" s="820">
        <f>SUM(F211:F214)</f>
        <v>0</v>
      </c>
      <c r="G210" s="972">
        <f>SUM(G211:G214)</f>
        <v>2125000</v>
      </c>
    </row>
    <row r="211" spans="1:7" s="664" customFormat="1" ht="36" customHeight="1" hidden="1" thickBot="1">
      <c r="A211" s="378"/>
      <c r="B211" s="886"/>
      <c r="C211" s="969">
        <v>2440</v>
      </c>
      <c r="D211" s="976" t="s">
        <v>440</v>
      </c>
      <c r="E211" s="820">
        <f>SUM(F211:G211)</f>
        <v>0</v>
      </c>
      <c r="F211" s="977">
        <v>0</v>
      </c>
      <c r="G211" s="978"/>
    </row>
    <row r="212" spans="1:7" s="664" customFormat="1" ht="27" customHeight="1">
      <c r="A212" s="378"/>
      <c r="B212" s="975"/>
      <c r="C212" s="969">
        <v>6208</v>
      </c>
      <c r="D212" s="976" t="s">
        <v>469</v>
      </c>
      <c r="E212" s="820">
        <f>SUM(F212:G212)</f>
        <v>2125000</v>
      </c>
      <c r="F212" s="977"/>
      <c r="G212" s="978">
        <f>4000000-4000000+2125000</f>
        <v>2125000</v>
      </c>
    </row>
    <row r="213" spans="1:7" s="405" customFormat="1" ht="46.5" customHeight="1" hidden="1">
      <c r="A213" s="338"/>
      <c r="B213" s="387"/>
      <c r="C213" s="409">
        <v>6269</v>
      </c>
      <c r="D213" s="388" t="s">
        <v>283</v>
      </c>
      <c r="E213" s="678">
        <f>SUM(F213:G213)</f>
        <v>0</v>
      </c>
      <c r="F213" s="726"/>
      <c r="G213" s="727">
        <v>0</v>
      </c>
    </row>
    <row r="214" spans="1:7" s="405" customFormat="1" ht="39.75" customHeight="1" hidden="1">
      <c r="A214" s="338"/>
      <c r="B214" s="354"/>
      <c r="C214" s="409">
        <v>6298</v>
      </c>
      <c r="D214" s="388" t="s">
        <v>618</v>
      </c>
      <c r="E214" s="678">
        <f>SUM(F214:G214)</f>
        <v>0</v>
      </c>
      <c r="F214" s="686"/>
      <c r="G214" s="525">
        <v>0</v>
      </c>
    </row>
    <row r="215" spans="1:7" s="405" customFormat="1" ht="12.75">
      <c r="A215" s="338"/>
      <c r="B215" s="387"/>
      <c r="C215" s="395"/>
      <c r="D215" s="430"/>
      <c r="E215" s="644"/>
      <c r="F215" s="688"/>
      <c r="G215" s="524"/>
    </row>
    <row r="216" spans="1:7" s="405" customFormat="1" ht="12.75">
      <c r="A216" s="338"/>
      <c r="B216" s="387">
        <v>90004</v>
      </c>
      <c r="C216" s="391"/>
      <c r="D216" s="388" t="s">
        <v>188</v>
      </c>
      <c r="E216" s="678">
        <f>SUM(E217)</f>
        <v>809500</v>
      </c>
      <c r="F216" s="679">
        <f>SUM(F217)</f>
        <v>809500</v>
      </c>
      <c r="G216" s="680">
        <f>SUM(G217)</f>
        <v>0</v>
      </c>
    </row>
    <row r="217" spans="1:7" s="405" customFormat="1" ht="34.5" customHeight="1" thickBot="1">
      <c r="A217" s="339"/>
      <c r="B217" s="415"/>
      <c r="C217" s="999" t="s">
        <v>442</v>
      </c>
      <c r="D217" s="435" t="s">
        <v>440</v>
      </c>
      <c r="E217" s="743">
        <f>SUM(F217:G217)</f>
        <v>809500</v>
      </c>
      <c r="F217" s="702">
        <v>809500</v>
      </c>
      <c r="G217" s="703"/>
    </row>
    <row r="218" spans="1:7" s="674" customFormat="1" ht="14.25" customHeight="1">
      <c r="A218" s="730">
        <v>1</v>
      </c>
      <c r="B218" s="731">
        <v>2</v>
      </c>
      <c r="C218" s="732">
        <v>3</v>
      </c>
      <c r="D218" s="731">
        <v>4</v>
      </c>
      <c r="E218" s="744">
        <v>5</v>
      </c>
      <c r="F218" s="731">
        <v>6</v>
      </c>
      <c r="G218" s="745">
        <v>7</v>
      </c>
    </row>
    <row r="219" spans="1:7" s="405" customFormat="1" ht="7.5" customHeight="1">
      <c r="A219" s="338"/>
      <c r="B219" s="387"/>
      <c r="C219" s="395"/>
      <c r="D219" s="430"/>
      <c r="E219" s="644"/>
      <c r="F219" s="694"/>
      <c r="G219" s="695"/>
    </row>
    <row r="220" spans="1:7" s="405" customFormat="1" ht="14.25" customHeight="1">
      <c r="A220" s="338"/>
      <c r="B220" s="387">
        <v>90020</v>
      </c>
      <c r="C220" s="410"/>
      <c r="D220" s="426" t="s">
        <v>425</v>
      </c>
      <c r="E220" s="644"/>
      <c r="F220" s="688"/>
      <c r="G220" s="524"/>
    </row>
    <row r="221" spans="1:7" s="405" customFormat="1" ht="14.25" customHeight="1">
      <c r="A221" s="338"/>
      <c r="B221" s="387"/>
      <c r="C221" s="409"/>
      <c r="D221" s="427" t="s">
        <v>426</v>
      </c>
      <c r="E221" s="678">
        <f>SUM(E222)</f>
        <v>50000</v>
      </c>
      <c r="F221" s="679">
        <f>SUM(F222)</f>
        <v>50000</v>
      </c>
      <c r="G221" s="680">
        <f>SUM(G222)</f>
        <v>0</v>
      </c>
    </row>
    <row r="222" spans="1:7" s="405" customFormat="1" ht="25.5" customHeight="1">
      <c r="A222" s="341"/>
      <c r="B222" s="354"/>
      <c r="C222" s="386" t="s">
        <v>281</v>
      </c>
      <c r="D222" s="388" t="s">
        <v>298</v>
      </c>
      <c r="E222" s="746">
        <f>SUM(F222:G222)</f>
        <v>50000</v>
      </c>
      <c r="F222" s="686">
        <v>50000</v>
      </c>
      <c r="G222" s="525"/>
    </row>
    <row r="223" spans="1:7" s="405" customFormat="1" ht="14.25" customHeight="1">
      <c r="A223" s="338"/>
      <c r="B223" s="387"/>
      <c r="C223" s="410"/>
      <c r="D223" s="426"/>
      <c r="E223" s="739"/>
      <c r="F223" s="688"/>
      <c r="G223" s="762"/>
    </row>
    <row r="224" spans="1:7" s="405" customFormat="1" ht="14.25" customHeight="1">
      <c r="A224" s="338"/>
      <c r="B224" s="387">
        <v>90095</v>
      </c>
      <c r="C224" s="409"/>
      <c r="D224" s="427" t="s">
        <v>407</v>
      </c>
      <c r="E224" s="763">
        <f>SUM(E225:E236)</f>
        <v>6869016</v>
      </c>
      <c r="F224" s="679">
        <f>SUM(F225:F236)</f>
        <v>2110057</v>
      </c>
      <c r="G224" s="359">
        <f>SUM(G225:G236)</f>
        <v>4758959</v>
      </c>
    </row>
    <row r="225" spans="1:7" s="405" customFormat="1" ht="25.5" customHeight="1">
      <c r="A225" s="338"/>
      <c r="B225" s="387"/>
      <c r="C225" s="390" t="s">
        <v>258</v>
      </c>
      <c r="D225" s="428" t="s">
        <v>286</v>
      </c>
      <c r="E225" s="678">
        <f aca="true" t="shared" si="3" ref="E225:E232">SUM(F225:G225)</f>
        <v>895000</v>
      </c>
      <c r="F225" s="726">
        <v>895000</v>
      </c>
      <c r="G225" s="764"/>
    </row>
    <row r="226" spans="1:7" s="405" customFormat="1" ht="34.5" customHeight="1">
      <c r="A226" s="338"/>
      <c r="B226" s="387"/>
      <c r="C226" s="390" t="s">
        <v>275</v>
      </c>
      <c r="D226" s="428" t="s">
        <v>310</v>
      </c>
      <c r="E226" s="678">
        <f t="shared" si="3"/>
        <v>126000</v>
      </c>
      <c r="F226" s="688">
        <v>126000</v>
      </c>
      <c r="G226" s="344"/>
    </row>
    <row r="227" spans="1:7" s="405" customFormat="1" ht="45" customHeight="1">
      <c r="A227" s="338"/>
      <c r="B227" s="387"/>
      <c r="C227" s="390" t="s">
        <v>282</v>
      </c>
      <c r="D227" s="428" t="s">
        <v>439</v>
      </c>
      <c r="E227" s="678">
        <f>SUM(F227:G227)</f>
        <v>888057</v>
      </c>
      <c r="F227" s="726">
        <f>15000+265000+531566+25100+23391-265000+293000</f>
        <v>888057</v>
      </c>
      <c r="G227" s="764"/>
    </row>
    <row r="228" spans="1:7" s="405" customFormat="1" ht="33.75" customHeight="1">
      <c r="A228" s="338"/>
      <c r="B228" s="387"/>
      <c r="C228" s="390" t="s">
        <v>427</v>
      </c>
      <c r="D228" s="388" t="s">
        <v>428</v>
      </c>
      <c r="E228" s="678">
        <f t="shared" si="3"/>
        <v>14000</v>
      </c>
      <c r="F228" s="726"/>
      <c r="G228" s="764">
        <v>14000</v>
      </c>
    </row>
    <row r="229" spans="1:7" s="405" customFormat="1" ht="33.75" customHeight="1">
      <c r="A229" s="338"/>
      <c r="B229" s="387"/>
      <c r="C229" s="411" t="s">
        <v>519</v>
      </c>
      <c r="D229" s="428" t="s">
        <v>520</v>
      </c>
      <c r="E229" s="678">
        <f>SUM(F229:G229)</f>
        <v>2136000</v>
      </c>
      <c r="F229" s="688"/>
      <c r="G229" s="344">
        <f>336000+1800000</f>
        <v>2136000</v>
      </c>
    </row>
    <row r="230" spans="1:7" s="405" customFormat="1" ht="25.5" customHeight="1">
      <c r="A230" s="338"/>
      <c r="B230" s="387"/>
      <c r="C230" s="411" t="s">
        <v>280</v>
      </c>
      <c r="D230" s="433" t="s">
        <v>297</v>
      </c>
      <c r="E230" s="678">
        <f t="shared" si="3"/>
        <v>15000</v>
      </c>
      <c r="F230" s="726">
        <v>15000</v>
      </c>
      <c r="G230" s="764"/>
    </row>
    <row r="231" spans="1:7" s="405" customFormat="1" ht="25.5" customHeight="1">
      <c r="A231" s="338"/>
      <c r="B231" s="387"/>
      <c r="C231" s="390" t="s">
        <v>259</v>
      </c>
      <c r="D231" s="428" t="s">
        <v>299</v>
      </c>
      <c r="E231" s="678">
        <f t="shared" si="3"/>
        <v>12500</v>
      </c>
      <c r="F231" s="726">
        <v>12500</v>
      </c>
      <c r="G231" s="764"/>
    </row>
    <row r="232" spans="1:7" s="405" customFormat="1" ht="25.5" customHeight="1">
      <c r="A232" s="338"/>
      <c r="B232" s="387"/>
      <c r="C232" s="408" t="s">
        <v>260</v>
      </c>
      <c r="D232" s="428" t="s">
        <v>289</v>
      </c>
      <c r="E232" s="678">
        <f t="shared" si="3"/>
        <v>7500</v>
      </c>
      <c r="F232" s="688">
        <v>7500</v>
      </c>
      <c r="G232" s="344"/>
    </row>
    <row r="233" spans="1:7" s="405" customFormat="1" ht="32.25" customHeight="1">
      <c r="A233" s="338"/>
      <c r="B233" s="387"/>
      <c r="C233" s="408" t="s">
        <v>442</v>
      </c>
      <c r="D233" s="428" t="s">
        <v>440</v>
      </c>
      <c r="E233" s="746">
        <f>SUM(F233:G233)</f>
        <v>166000</v>
      </c>
      <c r="F233" s="726">
        <f>289100-23100-100000</f>
        <v>166000</v>
      </c>
      <c r="G233" s="764"/>
    </row>
    <row r="234" spans="1:7" s="405" customFormat="1" ht="42" customHeight="1">
      <c r="A234" s="338"/>
      <c r="B234" s="387"/>
      <c r="C234" s="997">
        <v>6260</v>
      </c>
      <c r="D234" s="998" t="s">
        <v>283</v>
      </c>
      <c r="E234" s="725">
        <f>SUM(F234:G234)</f>
        <v>2050000</v>
      </c>
      <c r="F234" s="977"/>
      <c r="G234" s="1015">
        <f>2400000-400000-500000+500000+50000</f>
        <v>2050000</v>
      </c>
    </row>
    <row r="235" spans="1:7" s="405" customFormat="1" ht="42" customHeight="1">
      <c r="A235" s="338"/>
      <c r="B235" s="387"/>
      <c r="C235" s="997">
        <v>6269</v>
      </c>
      <c r="D235" s="998" t="s">
        <v>283</v>
      </c>
      <c r="E235" s="725">
        <f>SUM(F235:G235)</f>
        <v>112542</v>
      </c>
      <c r="F235" s="977"/>
      <c r="G235" s="1015">
        <f>112542</f>
        <v>112542</v>
      </c>
    </row>
    <row r="236" spans="1:7" s="664" customFormat="1" ht="37.5" customHeight="1" thickBot="1">
      <c r="A236" s="979"/>
      <c r="B236" s="980"/>
      <c r="C236" s="1228">
        <v>6298</v>
      </c>
      <c r="D236" s="982" t="s">
        <v>618</v>
      </c>
      <c r="E236" s="736">
        <f>SUM(F236:G236)</f>
        <v>446417</v>
      </c>
      <c r="F236" s="991"/>
      <c r="G236" s="1229">
        <v>446417</v>
      </c>
    </row>
    <row r="237" spans="1:7" s="405" customFormat="1" ht="14.25" customHeight="1" thickTop="1">
      <c r="A237" s="338"/>
      <c r="B237" s="387"/>
      <c r="C237" s="410"/>
      <c r="D237" s="426"/>
      <c r="E237" s="766"/>
      <c r="F237" s="688"/>
      <c r="G237" s="344"/>
    </row>
    <row r="238" spans="1:7" s="405" customFormat="1" ht="13.5" customHeight="1">
      <c r="A238" s="338">
        <v>921</v>
      </c>
      <c r="B238" s="354"/>
      <c r="C238" s="409"/>
      <c r="D238" s="427" t="s">
        <v>441</v>
      </c>
      <c r="E238" s="763">
        <f>SUM(E240)</f>
        <v>300000</v>
      </c>
      <c r="F238" s="679">
        <f>SUM(F240)</f>
        <v>0</v>
      </c>
      <c r="G238" s="359">
        <f>SUM(G240)</f>
        <v>300000</v>
      </c>
    </row>
    <row r="239" spans="1:7" s="405" customFormat="1" ht="14.25" customHeight="1">
      <c r="A239" s="338"/>
      <c r="B239" s="387"/>
      <c r="C239" s="410"/>
      <c r="D239" s="426"/>
      <c r="E239" s="766"/>
      <c r="F239" s="645"/>
      <c r="G239" s="358"/>
    </row>
    <row r="240" spans="1:7" s="405" customFormat="1" ht="14.25" customHeight="1">
      <c r="A240" s="338"/>
      <c r="B240" s="387">
        <v>92120</v>
      </c>
      <c r="C240" s="409"/>
      <c r="D240" s="427" t="s">
        <v>222</v>
      </c>
      <c r="E240" s="763">
        <f>SUM(E241)</f>
        <v>300000</v>
      </c>
      <c r="F240" s="679">
        <f>SUM(F241)</f>
        <v>0</v>
      </c>
      <c r="G240" s="359">
        <f>SUM(G241)</f>
        <v>300000</v>
      </c>
    </row>
    <row r="241" spans="1:7" s="405" customFormat="1" ht="40.5" customHeight="1" thickBot="1">
      <c r="A241" s="339"/>
      <c r="B241" s="415"/>
      <c r="C241" s="1002">
        <v>6620</v>
      </c>
      <c r="D241" s="431" t="s">
        <v>470</v>
      </c>
      <c r="E241" s="743">
        <f>SUM(F241:G241)</f>
        <v>300000</v>
      </c>
      <c r="F241" s="702"/>
      <c r="G241" s="340">
        <v>300000</v>
      </c>
    </row>
    <row r="242" spans="1:7" ht="14.25" customHeight="1">
      <c r="A242" s="767"/>
      <c r="B242" s="768"/>
      <c r="C242" s="769"/>
      <c r="D242" s="770"/>
      <c r="E242" s="771"/>
      <c r="F242" s="772"/>
      <c r="G242" s="773"/>
    </row>
    <row r="243" spans="1:7" s="777" customFormat="1" ht="14.25" customHeight="1" thickBot="1">
      <c r="A243" s="357"/>
      <c r="B243" s="415"/>
      <c r="C243" s="774"/>
      <c r="D243" s="775" t="s">
        <v>393</v>
      </c>
      <c r="E243" s="711">
        <f>F243+G243</f>
        <v>108374734</v>
      </c>
      <c r="F243" s="712">
        <f>F204+F198+F177+F172+F161+F150+F99+F89+F72+F60+F238</f>
        <v>90458883</v>
      </c>
      <c r="G243" s="713">
        <f>G204+G198+G177+G172+G161+G150+G99+G89+G72+G60+G238</f>
        <v>17915851</v>
      </c>
    </row>
    <row r="244" spans="1:7" s="778" customFormat="1" ht="36" customHeight="1">
      <c r="A244" s="1287" t="s">
        <v>352</v>
      </c>
      <c r="B244" s="1287"/>
      <c r="C244" s="1287"/>
      <c r="D244" s="1287"/>
      <c r="E244" s="1287"/>
      <c r="F244" s="1287"/>
      <c r="G244" s="1287"/>
    </row>
    <row r="245" spans="1:7" ht="14.25" customHeight="1">
      <c r="A245" s="1303" t="s">
        <v>350</v>
      </c>
      <c r="B245" s="1303"/>
      <c r="C245" s="1303"/>
      <c r="D245" s="1303"/>
      <c r="E245" s="1303"/>
      <c r="F245" s="1303"/>
      <c r="G245" s="1303"/>
    </row>
    <row r="246" spans="1:7" ht="14.25" customHeight="1" thickBot="1">
      <c r="A246" s="779"/>
      <c r="B246" s="780"/>
      <c r="C246" s="781"/>
      <c r="D246" s="782"/>
      <c r="E246" s="1003"/>
      <c r="F246" s="718"/>
      <c r="G246" s="335" t="s">
        <v>593</v>
      </c>
    </row>
    <row r="247" spans="1:7" s="783" customFormat="1" ht="14.25" customHeight="1">
      <c r="A247" s="1309" t="s">
        <v>375</v>
      </c>
      <c r="B247" s="1311" t="s">
        <v>394</v>
      </c>
      <c r="C247" s="1311" t="s">
        <v>418</v>
      </c>
      <c r="D247" s="1311" t="s">
        <v>395</v>
      </c>
      <c r="E247" s="1297" t="s">
        <v>335</v>
      </c>
      <c r="F247" s="1290" t="s">
        <v>555</v>
      </c>
      <c r="G247" s="1291"/>
    </row>
    <row r="248" spans="1:7" s="374" customFormat="1" ht="12.75">
      <c r="A248" s="1310"/>
      <c r="B248" s="1312"/>
      <c r="C248" s="1312"/>
      <c r="D248" s="1312"/>
      <c r="E248" s="1292"/>
      <c r="F248" s="666" t="s">
        <v>459</v>
      </c>
      <c r="G248" s="667" t="s">
        <v>460</v>
      </c>
    </row>
    <row r="249" spans="1:7" s="674" customFormat="1" ht="12" thickBot="1">
      <c r="A249" s="669">
        <v>1</v>
      </c>
      <c r="B249" s="721">
        <v>2</v>
      </c>
      <c r="C249" s="722">
        <v>3</v>
      </c>
      <c r="D249" s="721">
        <v>4</v>
      </c>
      <c r="E249" s="784">
        <v>5</v>
      </c>
      <c r="F249" s="671">
        <v>6</v>
      </c>
      <c r="G249" s="672">
        <v>7</v>
      </c>
    </row>
    <row r="250" spans="1:7" s="405" customFormat="1" ht="12.75" customHeight="1">
      <c r="A250" s="355"/>
      <c r="B250" s="360"/>
      <c r="C250" s="396"/>
      <c r="D250" s="360"/>
      <c r="E250" s="785"/>
      <c r="F250" s="786"/>
      <c r="G250" s="524"/>
    </row>
    <row r="251" spans="1:7" s="405" customFormat="1" ht="12.75" customHeight="1">
      <c r="A251" s="338">
        <v>750</v>
      </c>
      <c r="B251" s="353"/>
      <c r="C251" s="397"/>
      <c r="D251" s="380" t="s">
        <v>382</v>
      </c>
      <c r="E251" s="787">
        <f>SUM(E253)</f>
        <v>305000</v>
      </c>
      <c r="F251" s="686">
        <f>SUM(F253)</f>
        <v>305000</v>
      </c>
      <c r="G251" s="525">
        <f>SUM(G253)</f>
        <v>0</v>
      </c>
    </row>
    <row r="252" spans="1:7" s="405" customFormat="1" ht="12.75" customHeight="1">
      <c r="A252" s="338"/>
      <c r="B252" s="387"/>
      <c r="C252" s="788"/>
      <c r="D252" s="381"/>
      <c r="E252" s="687"/>
      <c r="F252" s="688"/>
      <c r="G252" s="524"/>
    </row>
    <row r="253" spans="1:7" s="405" customFormat="1" ht="12.75" customHeight="1">
      <c r="A253" s="338"/>
      <c r="B253" s="387">
        <v>75011</v>
      </c>
      <c r="C253" s="789"/>
      <c r="D253" s="380" t="s">
        <v>590</v>
      </c>
      <c r="E253" s="787">
        <f>SUM(E256)</f>
        <v>305000</v>
      </c>
      <c r="F253" s="686">
        <f>SUM(F256)</f>
        <v>305000</v>
      </c>
      <c r="G253" s="525">
        <f>SUM(G256)</f>
        <v>0</v>
      </c>
    </row>
    <row r="254" spans="1:7" s="405" customFormat="1" ht="12.75" customHeight="1">
      <c r="A254" s="338"/>
      <c r="B254" s="387"/>
      <c r="C254" s="788">
        <v>2010</v>
      </c>
      <c r="D254" s="381" t="s">
        <v>547</v>
      </c>
      <c r="E254" s="687"/>
      <c r="F254" s="688"/>
      <c r="G254" s="524"/>
    </row>
    <row r="255" spans="1:7" s="405" customFormat="1" ht="12.75" customHeight="1">
      <c r="A255" s="338"/>
      <c r="B255" s="387"/>
      <c r="C255" s="788"/>
      <c r="D255" s="381" t="s">
        <v>548</v>
      </c>
      <c r="E255" s="687"/>
      <c r="F255" s="688"/>
      <c r="G255" s="524"/>
    </row>
    <row r="256" spans="1:7" s="405" customFormat="1" ht="12.75" customHeight="1" thickBot="1">
      <c r="A256" s="356"/>
      <c r="B256" s="406"/>
      <c r="C256" s="790"/>
      <c r="D256" s="791" t="s">
        <v>549</v>
      </c>
      <c r="E256" s="792">
        <f>SUM(F256:G256)</f>
        <v>305000</v>
      </c>
      <c r="F256" s="750">
        <v>305000</v>
      </c>
      <c r="G256" s="751"/>
    </row>
    <row r="257" spans="1:7" s="405" customFormat="1" ht="12.75" customHeight="1" thickTop="1">
      <c r="A257" s="338"/>
      <c r="B257" s="387"/>
      <c r="C257" s="788"/>
      <c r="D257" s="381"/>
      <c r="E257" s="687"/>
      <c r="F257" s="688"/>
      <c r="G257" s="524"/>
    </row>
    <row r="258" spans="1:7" s="405" customFormat="1" ht="12.75" customHeight="1">
      <c r="A258" s="338">
        <v>751</v>
      </c>
      <c r="B258" s="352"/>
      <c r="C258" s="396"/>
      <c r="D258" s="381" t="s">
        <v>550</v>
      </c>
      <c r="E258" s="687"/>
      <c r="F258" s="688"/>
      <c r="G258" s="524"/>
    </row>
    <row r="259" spans="1:7" s="405" customFormat="1" ht="12.75" customHeight="1">
      <c r="A259" s="338"/>
      <c r="B259" s="353"/>
      <c r="C259" s="397"/>
      <c r="D259" s="380" t="s">
        <v>551</v>
      </c>
      <c r="E259" s="787">
        <f>SUM(E262)</f>
        <v>6720</v>
      </c>
      <c r="F259" s="686">
        <f>SUM(F262)</f>
        <v>6720</v>
      </c>
      <c r="G259" s="525">
        <f>SUM(G262)</f>
        <v>0</v>
      </c>
    </row>
    <row r="260" spans="1:7" s="405" customFormat="1" ht="12.75" customHeight="1">
      <c r="A260" s="338"/>
      <c r="B260" s="352"/>
      <c r="C260" s="396"/>
      <c r="D260" s="381"/>
      <c r="E260" s="687"/>
      <c r="F260" s="688"/>
      <c r="G260" s="524"/>
    </row>
    <row r="261" spans="1:7" s="405" customFormat="1" ht="12.75" customHeight="1">
      <c r="A261" s="338"/>
      <c r="B261" s="387">
        <v>75101</v>
      </c>
      <c r="C261" s="788"/>
      <c r="D261" s="381" t="s">
        <v>422</v>
      </c>
      <c r="E261" s="687"/>
      <c r="F261" s="688"/>
      <c r="G261" s="524"/>
    </row>
    <row r="262" spans="1:7" s="405" customFormat="1" ht="12.75" customHeight="1">
      <c r="A262" s="338"/>
      <c r="B262" s="387"/>
      <c r="C262" s="789"/>
      <c r="D262" s="380" t="s">
        <v>423</v>
      </c>
      <c r="E262" s="787">
        <f>SUM(E265)</f>
        <v>6720</v>
      </c>
      <c r="F262" s="686">
        <f>SUM(F265)</f>
        <v>6720</v>
      </c>
      <c r="G262" s="525">
        <f>SUM(G265)</f>
        <v>0</v>
      </c>
    </row>
    <row r="263" spans="1:7" s="405" customFormat="1" ht="12.75" customHeight="1">
      <c r="A263" s="338"/>
      <c r="B263" s="387"/>
      <c r="C263" s="788">
        <v>2010</v>
      </c>
      <c r="D263" s="381" t="s">
        <v>547</v>
      </c>
      <c r="E263" s="687"/>
      <c r="F263" s="688"/>
      <c r="G263" s="524"/>
    </row>
    <row r="264" spans="1:7" s="405" customFormat="1" ht="12.75" customHeight="1">
      <c r="A264" s="338"/>
      <c r="B264" s="387"/>
      <c r="C264" s="788"/>
      <c r="D264" s="381" t="s">
        <v>548</v>
      </c>
      <c r="E264" s="687"/>
      <c r="F264" s="688"/>
      <c r="G264" s="524"/>
    </row>
    <row r="265" spans="1:7" s="405" customFormat="1" ht="12.75" customHeight="1" thickBot="1">
      <c r="A265" s="356"/>
      <c r="B265" s="406"/>
      <c r="C265" s="790"/>
      <c r="D265" s="791" t="s">
        <v>549</v>
      </c>
      <c r="E265" s="1004">
        <f>SUM(F265:G265)</f>
        <v>6720</v>
      </c>
      <c r="F265" s="750">
        <v>6720</v>
      </c>
      <c r="G265" s="751"/>
    </row>
    <row r="266" spans="1:7" s="405" customFormat="1" ht="12.75" customHeight="1" thickTop="1">
      <c r="A266" s="338"/>
      <c r="B266" s="381"/>
      <c r="C266" s="788"/>
      <c r="D266" s="381"/>
      <c r="E266" s="687"/>
      <c r="F266" s="688"/>
      <c r="G266" s="524"/>
    </row>
    <row r="267" spans="1:7" s="405" customFormat="1" ht="12.75" customHeight="1">
      <c r="A267" s="338">
        <v>851</v>
      </c>
      <c r="B267" s="380"/>
      <c r="C267" s="789"/>
      <c r="D267" s="380" t="s">
        <v>388</v>
      </c>
      <c r="E267" s="787">
        <f>SUM(E269,)</f>
        <v>2000</v>
      </c>
      <c r="F267" s="686">
        <f>SUM(F269,)</f>
        <v>2000</v>
      </c>
      <c r="G267" s="525">
        <f>SUM(G269,)</f>
        <v>0</v>
      </c>
    </row>
    <row r="268" spans="1:7" s="405" customFormat="1" ht="12.75" customHeight="1">
      <c r="A268" s="338"/>
      <c r="B268" s="381"/>
      <c r="C268" s="788"/>
      <c r="D268" s="381"/>
      <c r="E268" s="687"/>
      <c r="F268" s="688"/>
      <c r="G268" s="524"/>
    </row>
    <row r="269" spans="1:7" s="405" customFormat="1" ht="12.75" customHeight="1">
      <c r="A269" s="338"/>
      <c r="B269" s="387">
        <v>85195</v>
      </c>
      <c r="C269" s="789"/>
      <c r="D269" s="380" t="s">
        <v>407</v>
      </c>
      <c r="E269" s="787">
        <f>SUM(E272,)</f>
        <v>2000</v>
      </c>
      <c r="F269" s="686">
        <f>SUM(F272,)</f>
        <v>2000</v>
      </c>
      <c r="G269" s="525">
        <f>SUM(G272,)</f>
        <v>0</v>
      </c>
    </row>
    <row r="270" spans="1:7" s="405" customFormat="1" ht="12.75" customHeight="1">
      <c r="A270" s="338"/>
      <c r="B270" s="381"/>
      <c r="C270" s="788">
        <v>2010</v>
      </c>
      <c r="D270" s="381" t="s">
        <v>547</v>
      </c>
      <c r="E270" s="687"/>
      <c r="F270" s="688"/>
      <c r="G270" s="524"/>
    </row>
    <row r="271" spans="1:7" s="405" customFormat="1" ht="12.75" customHeight="1">
      <c r="A271" s="338"/>
      <c r="B271" s="381"/>
      <c r="C271" s="788"/>
      <c r="D271" s="381" t="s">
        <v>548</v>
      </c>
      <c r="E271" s="687"/>
      <c r="F271" s="688"/>
      <c r="G271" s="524"/>
    </row>
    <row r="272" spans="1:7" s="405" customFormat="1" ht="12.75" customHeight="1" thickBot="1">
      <c r="A272" s="356"/>
      <c r="B272" s="361"/>
      <c r="C272" s="398"/>
      <c r="D272" s="791" t="s">
        <v>549</v>
      </c>
      <c r="E272" s="792">
        <f>SUM(F272:G272)</f>
        <v>2000</v>
      </c>
      <c r="F272" s="750">
        <v>2000</v>
      </c>
      <c r="G272" s="751"/>
    </row>
    <row r="273" spans="1:7" s="405" customFormat="1" ht="12.75" customHeight="1" thickTop="1">
      <c r="A273" s="338"/>
      <c r="B273" s="352"/>
      <c r="C273" s="396"/>
      <c r="D273" s="381"/>
      <c r="E273" s="687"/>
      <c r="F273" s="688"/>
      <c r="G273" s="524"/>
    </row>
    <row r="274" spans="1:7" s="405" customFormat="1" ht="12.75" customHeight="1">
      <c r="A274" s="362">
        <v>852</v>
      </c>
      <c r="B274" s="353"/>
      <c r="C274" s="397"/>
      <c r="D274" s="380" t="s">
        <v>164</v>
      </c>
      <c r="E274" s="787">
        <f>SUM(E276,E282,E292,E298,E304,)</f>
        <v>10401000</v>
      </c>
      <c r="F274" s="686">
        <f>SUM(F276,F282,F292,F298,F304,)</f>
        <v>10401000</v>
      </c>
      <c r="G274" s="525">
        <f>SUM(G276,G282,G292,G298,G304,)</f>
        <v>0</v>
      </c>
    </row>
    <row r="275" spans="1:7" s="405" customFormat="1" ht="12.75" customHeight="1">
      <c r="A275" s="362"/>
      <c r="B275" s="387"/>
      <c r="C275" s="788"/>
      <c r="D275" s="381"/>
      <c r="E275" s="687"/>
      <c r="F275" s="688"/>
      <c r="G275" s="524"/>
    </row>
    <row r="276" spans="1:7" s="405" customFormat="1" ht="12.75" customHeight="1">
      <c r="A276" s="362"/>
      <c r="B276" s="387">
        <v>85203</v>
      </c>
      <c r="C276" s="789"/>
      <c r="D276" s="380" t="s">
        <v>177</v>
      </c>
      <c r="E276" s="787">
        <f>SUM(E279)</f>
        <v>175000</v>
      </c>
      <c r="F276" s="686">
        <f>SUM(F279)</f>
        <v>175000</v>
      </c>
      <c r="G276" s="525">
        <f>SUM(G279)</f>
        <v>0</v>
      </c>
    </row>
    <row r="277" spans="1:7" s="405" customFormat="1" ht="12.75" customHeight="1">
      <c r="A277" s="362"/>
      <c r="B277" s="387"/>
      <c r="C277" s="788">
        <v>2010</v>
      </c>
      <c r="D277" s="381" t="s">
        <v>547</v>
      </c>
      <c r="E277" s="687"/>
      <c r="F277" s="688"/>
      <c r="G277" s="524"/>
    </row>
    <row r="278" spans="1:7" s="405" customFormat="1" ht="12.75" customHeight="1">
      <c r="A278" s="362"/>
      <c r="B278" s="387"/>
      <c r="C278" s="788"/>
      <c r="D278" s="381" t="s">
        <v>548</v>
      </c>
      <c r="E278" s="687"/>
      <c r="F278" s="688"/>
      <c r="G278" s="524"/>
    </row>
    <row r="279" spans="1:7" s="405" customFormat="1" ht="12.75" customHeight="1">
      <c r="A279" s="362"/>
      <c r="B279" s="387"/>
      <c r="C279" s="789"/>
      <c r="D279" s="380" t="s">
        <v>549</v>
      </c>
      <c r="E279" s="787">
        <f>SUM(F279:G279)</f>
        <v>175000</v>
      </c>
      <c r="F279" s="686">
        <v>175000</v>
      </c>
      <c r="G279" s="525"/>
    </row>
    <row r="280" spans="1:7" s="405" customFormat="1" ht="12.75" customHeight="1">
      <c r="A280" s="362"/>
      <c r="B280" s="425"/>
      <c r="C280" s="788"/>
      <c r="D280" s="381"/>
      <c r="E280" s="687"/>
      <c r="F280" s="688"/>
      <c r="G280" s="524"/>
    </row>
    <row r="281" spans="1:7" s="405" customFormat="1" ht="12.75" customHeight="1">
      <c r="A281" s="362"/>
      <c r="B281" s="387">
        <v>85212</v>
      </c>
      <c r="C281" s="788"/>
      <c r="D281" s="426" t="s">
        <v>116</v>
      </c>
      <c r="E281" s="687"/>
      <c r="F281" s="688"/>
      <c r="G281" s="524"/>
    </row>
    <row r="282" spans="1:7" s="405" customFormat="1" ht="12.75" customHeight="1">
      <c r="A282" s="362"/>
      <c r="B282" s="387"/>
      <c r="C282" s="793"/>
      <c r="D282" s="427" t="s">
        <v>444</v>
      </c>
      <c r="E282" s="787">
        <f>SUM(E286)</f>
        <v>9050000</v>
      </c>
      <c r="F282" s="686">
        <f>SUM(F286)</f>
        <v>9050000</v>
      </c>
      <c r="G282" s="525">
        <f>SUM(G286)</f>
        <v>0</v>
      </c>
    </row>
    <row r="283" spans="1:7" s="405" customFormat="1" ht="12.75" customHeight="1">
      <c r="A283" s="362"/>
      <c r="B283" s="387"/>
      <c r="C283" s="788"/>
      <c r="D283" s="381"/>
      <c r="E283" s="687"/>
      <c r="F283" s="694"/>
      <c r="G283" s="695"/>
    </row>
    <row r="284" spans="1:7" s="405" customFormat="1" ht="12.75" customHeight="1">
      <c r="A284" s="362"/>
      <c r="B284" s="387"/>
      <c r="C284" s="788">
        <v>2010</v>
      </c>
      <c r="D284" s="381" t="s">
        <v>547</v>
      </c>
      <c r="E284" s="687"/>
      <c r="F284" s="688"/>
      <c r="G284" s="524"/>
    </row>
    <row r="285" spans="1:7" s="405" customFormat="1" ht="12.75" customHeight="1">
      <c r="A285" s="362"/>
      <c r="B285" s="387"/>
      <c r="C285" s="788"/>
      <c r="D285" s="381" t="s">
        <v>548</v>
      </c>
      <c r="E285" s="687"/>
      <c r="F285" s="688"/>
      <c r="G285" s="524"/>
    </row>
    <row r="286" spans="1:7" s="405" customFormat="1" ht="12.75" customHeight="1" thickBot="1">
      <c r="A286" s="794"/>
      <c r="B286" s="415"/>
      <c r="C286" s="795"/>
      <c r="D286" s="796" t="s">
        <v>549</v>
      </c>
      <c r="E286" s="797">
        <f>SUM(F286:G286)</f>
        <v>9050000</v>
      </c>
      <c r="F286" s="702">
        <v>9050000</v>
      </c>
      <c r="G286" s="703"/>
    </row>
    <row r="287" spans="1:7" s="674" customFormat="1" ht="14.25" customHeight="1">
      <c r="A287" s="730">
        <v>1</v>
      </c>
      <c r="B287" s="731">
        <v>2</v>
      </c>
      <c r="C287" s="732">
        <v>3</v>
      </c>
      <c r="D287" s="731">
        <v>4</v>
      </c>
      <c r="E287" s="733">
        <v>5</v>
      </c>
      <c r="F287" s="731">
        <v>6</v>
      </c>
      <c r="G287" s="734">
        <v>7</v>
      </c>
    </row>
    <row r="288" spans="1:7" s="405" customFormat="1" ht="12.75" customHeight="1">
      <c r="A288" s="362"/>
      <c r="B288" s="387"/>
      <c r="C288" s="788"/>
      <c r="D288" s="381"/>
      <c r="E288" s="687"/>
      <c r="F288" s="688"/>
      <c r="G288" s="524"/>
    </row>
    <row r="289" spans="1:7" s="405" customFormat="1" ht="12.75" customHeight="1">
      <c r="A289" s="362"/>
      <c r="B289" s="387">
        <v>85213</v>
      </c>
      <c r="C289" s="788"/>
      <c r="D289" s="34" t="s">
        <v>254</v>
      </c>
      <c r="E289" s="687"/>
      <c r="F289" s="688"/>
      <c r="G289" s="524"/>
    </row>
    <row r="290" spans="1:7" s="405" customFormat="1" ht="12.75" customHeight="1">
      <c r="A290" s="338"/>
      <c r="B290" s="387"/>
      <c r="C290" s="410"/>
      <c r="D290" s="34" t="s">
        <v>210</v>
      </c>
      <c r="E290" s="798"/>
      <c r="F290" s="688"/>
      <c r="G290" s="524"/>
    </row>
    <row r="291" spans="1:7" s="405" customFormat="1" ht="12.75" customHeight="1">
      <c r="A291" s="338"/>
      <c r="B291" s="387"/>
      <c r="C291" s="788"/>
      <c r="D291" s="34" t="s">
        <v>211</v>
      </c>
      <c r="E291" s="798"/>
      <c r="F291" s="688"/>
      <c r="G291" s="524"/>
    </row>
    <row r="292" spans="1:7" s="405" customFormat="1" ht="12.75" customHeight="1">
      <c r="A292" s="338"/>
      <c r="B292" s="387"/>
      <c r="C292" s="789"/>
      <c r="D292" s="1222" t="s">
        <v>212</v>
      </c>
      <c r="E292" s="787">
        <f>SUM(E296)</f>
        <v>97000</v>
      </c>
      <c r="F292" s="686">
        <f>SUM(F296)</f>
        <v>97000</v>
      </c>
      <c r="G292" s="525">
        <f>SUM(G296)</f>
        <v>0</v>
      </c>
    </row>
    <row r="293" spans="1:7" s="405" customFormat="1" ht="12.75" customHeight="1">
      <c r="A293" s="338"/>
      <c r="B293" s="387"/>
      <c r="C293" s="788"/>
      <c r="D293" s="381"/>
      <c r="E293" s="687"/>
      <c r="F293" s="694"/>
      <c r="G293" s="695"/>
    </row>
    <row r="294" spans="1:7" s="405" customFormat="1" ht="12.75" customHeight="1">
      <c r="A294" s="338"/>
      <c r="B294" s="387"/>
      <c r="C294" s="788">
        <v>2010</v>
      </c>
      <c r="D294" s="381" t="s">
        <v>547</v>
      </c>
      <c r="E294" s="687"/>
      <c r="F294" s="688"/>
      <c r="G294" s="524"/>
    </row>
    <row r="295" spans="1:7" s="405" customFormat="1" ht="12.75" customHeight="1">
      <c r="A295" s="338"/>
      <c r="B295" s="387"/>
      <c r="C295" s="788"/>
      <c r="D295" s="381" t="s">
        <v>548</v>
      </c>
      <c r="E295" s="687"/>
      <c r="F295" s="688"/>
      <c r="G295" s="524"/>
    </row>
    <row r="296" spans="1:7" s="405" customFormat="1" ht="12.75" customHeight="1">
      <c r="A296" s="338"/>
      <c r="B296" s="354"/>
      <c r="C296" s="789"/>
      <c r="D296" s="380" t="s">
        <v>549</v>
      </c>
      <c r="E296" s="787">
        <f>SUM(F296:G296)</f>
        <v>97000</v>
      </c>
      <c r="F296" s="686">
        <v>97000</v>
      </c>
      <c r="G296" s="525"/>
    </row>
    <row r="297" spans="1:7" s="405" customFormat="1" ht="12.75" customHeight="1">
      <c r="A297" s="338"/>
      <c r="B297" s="387"/>
      <c r="C297" s="788"/>
      <c r="D297" s="381"/>
      <c r="E297" s="687"/>
      <c r="F297" s="688"/>
      <c r="G297" s="524"/>
    </row>
    <row r="298" spans="1:7" s="405" customFormat="1" ht="12.75" customHeight="1">
      <c r="A298" s="338"/>
      <c r="B298" s="387">
        <v>85214</v>
      </c>
      <c r="C298" s="789"/>
      <c r="D298" s="380" t="s">
        <v>27</v>
      </c>
      <c r="E298" s="787">
        <f>SUM(E302)</f>
        <v>949000</v>
      </c>
      <c r="F298" s="686">
        <f>SUM(F302)</f>
        <v>949000</v>
      </c>
      <c r="G298" s="525">
        <f>SUM(G302)</f>
        <v>0</v>
      </c>
    </row>
    <row r="299" spans="1:7" s="405" customFormat="1" ht="12.75" customHeight="1">
      <c r="A299" s="338"/>
      <c r="B299" s="387"/>
      <c r="C299" s="788"/>
      <c r="D299" s="381"/>
      <c r="E299" s="687"/>
      <c r="F299" s="694"/>
      <c r="G299" s="695"/>
    </row>
    <row r="300" spans="1:7" s="405" customFormat="1" ht="12.75" customHeight="1">
      <c r="A300" s="338"/>
      <c r="B300" s="387"/>
      <c r="C300" s="788">
        <v>2010</v>
      </c>
      <c r="D300" s="381" t="s">
        <v>547</v>
      </c>
      <c r="E300" s="687"/>
      <c r="F300" s="688"/>
      <c r="G300" s="524"/>
    </row>
    <row r="301" spans="1:7" s="405" customFormat="1" ht="12.75" customHeight="1">
      <c r="A301" s="338"/>
      <c r="B301" s="387"/>
      <c r="C301" s="788"/>
      <c r="D301" s="381" t="s">
        <v>548</v>
      </c>
      <c r="E301" s="687"/>
      <c r="F301" s="688"/>
      <c r="G301" s="524"/>
    </row>
    <row r="302" spans="1:7" s="405" customFormat="1" ht="12.75" customHeight="1">
      <c r="A302" s="338"/>
      <c r="B302" s="354"/>
      <c r="C302" s="789"/>
      <c r="D302" s="380" t="s">
        <v>549</v>
      </c>
      <c r="E302" s="687">
        <f>SUM(F302:G302)</f>
        <v>949000</v>
      </c>
      <c r="F302" s="686">
        <v>949000</v>
      </c>
      <c r="G302" s="525"/>
    </row>
    <row r="303" spans="1:7" s="405" customFormat="1" ht="12.75" customHeight="1">
      <c r="A303" s="338"/>
      <c r="B303" s="387"/>
      <c r="C303" s="799"/>
      <c r="D303" s="689"/>
      <c r="E303" s="693"/>
      <c r="F303" s="688"/>
      <c r="G303" s="524"/>
    </row>
    <row r="304" spans="1:7" s="405" customFormat="1" ht="12.75" customHeight="1">
      <c r="A304" s="338"/>
      <c r="B304" s="387">
        <v>85228</v>
      </c>
      <c r="C304" s="789"/>
      <c r="D304" s="380" t="s">
        <v>169</v>
      </c>
      <c r="E304" s="787">
        <f>SUM(E307)</f>
        <v>130000</v>
      </c>
      <c r="F304" s="686">
        <f>SUM(F307)</f>
        <v>130000</v>
      </c>
      <c r="G304" s="525">
        <f>SUM(G307)</f>
        <v>0</v>
      </c>
    </row>
    <row r="305" spans="1:7" s="405" customFormat="1" ht="12.75" customHeight="1">
      <c r="A305" s="338"/>
      <c r="B305" s="387"/>
      <c r="C305" s="788">
        <v>2010</v>
      </c>
      <c r="D305" s="381" t="s">
        <v>547</v>
      </c>
      <c r="E305" s="403"/>
      <c r="F305" s="688"/>
      <c r="G305" s="524"/>
    </row>
    <row r="306" spans="1:7" s="405" customFormat="1" ht="12.75" customHeight="1">
      <c r="A306" s="338"/>
      <c r="B306" s="387"/>
      <c r="C306" s="788"/>
      <c r="D306" s="381" t="s">
        <v>548</v>
      </c>
      <c r="E306" s="403"/>
      <c r="F306" s="688"/>
      <c r="G306" s="524"/>
    </row>
    <row r="307" spans="1:7" s="405" customFormat="1" ht="12.75" customHeight="1" thickBot="1">
      <c r="A307" s="339"/>
      <c r="B307" s="415"/>
      <c r="C307" s="795"/>
      <c r="D307" s="796" t="s">
        <v>549</v>
      </c>
      <c r="E307" s="800">
        <f>SUM(F307:G307)</f>
        <v>130000</v>
      </c>
      <c r="F307" s="702">
        <v>130000</v>
      </c>
      <c r="G307" s="703"/>
    </row>
    <row r="308" spans="1:7" ht="10.5" customHeight="1">
      <c r="A308" s="767"/>
      <c r="B308" s="801"/>
      <c r="C308" s="802"/>
      <c r="D308" s="803"/>
      <c r="E308" s="804"/>
      <c r="F308" s="772"/>
      <c r="G308" s="707"/>
    </row>
    <row r="309" spans="1:7" s="777" customFormat="1" ht="14.25" customHeight="1" thickBot="1">
      <c r="A309" s="357"/>
      <c r="B309" s="805"/>
      <c r="C309" s="806"/>
      <c r="D309" s="807" t="s">
        <v>393</v>
      </c>
      <c r="E309" s="711">
        <f>SUM(E274,E267,E251,E259,)</f>
        <v>10714720</v>
      </c>
      <c r="F309" s="712">
        <f>SUM(F274,F267,F251,F259,)</f>
        <v>10714720</v>
      </c>
      <c r="G309" s="776">
        <f>SUM(G274,G267,G251,G259,)</f>
        <v>0</v>
      </c>
    </row>
    <row r="310" spans="1:7" ht="37.5" customHeight="1">
      <c r="A310" s="1287" t="s">
        <v>524</v>
      </c>
      <c r="B310" s="1287"/>
      <c r="C310" s="1287"/>
      <c r="D310" s="1287"/>
      <c r="E310" s="1287"/>
      <c r="F310" s="1287"/>
      <c r="G310" s="1287"/>
    </row>
    <row r="311" spans="1:7" ht="14.25" customHeight="1">
      <c r="A311" s="1303" t="s">
        <v>350</v>
      </c>
      <c r="B311" s="1303"/>
      <c r="C311" s="1303"/>
      <c r="D311" s="1303"/>
      <c r="E311" s="1303"/>
      <c r="F311" s="1303"/>
      <c r="G311" s="1303"/>
    </row>
    <row r="312" spans="1:7" ht="14.25" customHeight="1" thickBot="1">
      <c r="A312" s="808"/>
      <c r="B312" s="809"/>
      <c r="D312" s="809"/>
      <c r="E312" s="337"/>
      <c r="F312" s="718"/>
      <c r="G312" s="335" t="s">
        <v>593</v>
      </c>
    </row>
    <row r="313" spans="1:7" s="783" customFormat="1" ht="14.25" customHeight="1">
      <c r="A313" s="1309" t="s">
        <v>375</v>
      </c>
      <c r="B313" s="1311" t="s">
        <v>394</v>
      </c>
      <c r="C313" s="1311" t="s">
        <v>418</v>
      </c>
      <c r="D313" s="1311" t="s">
        <v>395</v>
      </c>
      <c r="E313" s="1294" t="s">
        <v>335</v>
      </c>
      <c r="F313" s="1290" t="s">
        <v>555</v>
      </c>
      <c r="G313" s="1291"/>
    </row>
    <row r="314" spans="1:7" s="374" customFormat="1" ht="12.75">
      <c r="A314" s="1310"/>
      <c r="B314" s="1312"/>
      <c r="C314" s="1312"/>
      <c r="D314" s="1312"/>
      <c r="E314" s="1295"/>
      <c r="F314" s="666" t="s">
        <v>459</v>
      </c>
      <c r="G314" s="667" t="s">
        <v>460</v>
      </c>
    </row>
    <row r="315" spans="1:7" ht="14.25" customHeight="1" thickBot="1">
      <c r="A315" s="669">
        <v>1</v>
      </c>
      <c r="B315" s="721">
        <v>2</v>
      </c>
      <c r="C315" s="722">
        <v>3</v>
      </c>
      <c r="D315" s="721">
        <v>4</v>
      </c>
      <c r="E315" s="670">
        <v>5</v>
      </c>
      <c r="F315" s="671">
        <v>6</v>
      </c>
      <c r="G315" s="723">
        <v>7</v>
      </c>
    </row>
    <row r="316" spans="1:7" ht="14.25" customHeight="1">
      <c r="A316" s="810"/>
      <c r="B316" s="811"/>
      <c r="C316" s="812"/>
      <c r="D316" s="811"/>
      <c r="E316" s="813"/>
      <c r="F316" s="690"/>
      <c r="G316" s="707"/>
    </row>
    <row r="317" spans="1:7" ht="14.25" customHeight="1">
      <c r="A317" s="338">
        <v>600</v>
      </c>
      <c r="B317" s="380"/>
      <c r="C317" s="814"/>
      <c r="D317" s="380" t="s">
        <v>377</v>
      </c>
      <c r="E317" s="815">
        <f>E319+E322</f>
        <v>4950000</v>
      </c>
      <c r="F317" s="686">
        <f>F319+F322</f>
        <v>300000</v>
      </c>
      <c r="G317" s="347">
        <f>G319+G322</f>
        <v>4650000</v>
      </c>
    </row>
    <row r="318" spans="1:7" ht="14.25" customHeight="1">
      <c r="A318" s="338"/>
      <c r="B318" s="381"/>
      <c r="C318" s="816"/>
      <c r="D318" s="381"/>
      <c r="E318" s="404"/>
      <c r="F318" s="381"/>
      <c r="G318" s="762"/>
    </row>
    <row r="319" spans="1:7" ht="14.25" customHeight="1">
      <c r="A319" s="338"/>
      <c r="B319" s="387">
        <v>60013</v>
      </c>
      <c r="C319" s="814"/>
      <c r="D319" s="380" t="s">
        <v>456</v>
      </c>
      <c r="E319" s="815">
        <f>F319+G319</f>
        <v>600000</v>
      </c>
      <c r="F319" s="686">
        <f>F320</f>
        <v>0</v>
      </c>
      <c r="G319" s="347">
        <f>G320</f>
        <v>600000</v>
      </c>
    </row>
    <row r="320" spans="1:7" s="374" customFormat="1" ht="33" customHeight="1">
      <c r="A320" s="1005"/>
      <c r="B320" s="975"/>
      <c r="C320" s="969">
        <v>6208</v>
      </c>
      <c r="D320" s="976" t="s">
        <v>469</v>
      </c>
      <c r="E320" s="1006">
        <f>F320+G320</f>
        <v>600000</v>
      </c>
      <c r="F320" s="699"/>
      <c r="G320" s="1007">
        <v>600000</v>
      </c>
    </row>
    <row r="321" spans="1:7" s="374" customFormat="1" ht="14.25" customHeight="1">
      <c r="A321" s="378"/>
      <c r="B321" s="1008"/>
      <c r="C321" s="1009"/>
      <c r="D321" s="1008"/>
      <c r="E321" s="665"/>
      <c r="F321" s="1008"/>
      <c r="G321" s="1010"/>
    </row>
    <row r="322" spans="1:7" s="374" customFormat="1" ht="14.25" customHeight="1">
      <c r="A322" s="378"/>
      <c r="B322" s="886">
        <v>60014</v>
      </c>
      <c r="C322" s="1011"/>
      <c r="D322" s="1012" t="s">
        <v>554</v>
      </c>
      <c r="E322" s="1006">
        <f>SUM(E323:E325)</f>
        <v>4350000</v>
      </c>
      <c r="F322" s="699">
        <f>SUM(F323:F325)</f>
        <v>300000</v>
      </c>
      <c r="G322" s="1007">
        <f>SUM(G323:G325)</f>
        <v>4050000</v>
      </c>
    </row>
    <row r="323" spans="1:7" s="374" customFormat="1" ht="32.25" customHeight="1">
      <c r="A323" s="1005"/>
      <c r="B323" s="886"/>
      <c r="C323" s="997">
        <v>2320</v>
      </c>
      <c r="D323" s="1013" t="s">
        <v>285</v>
      </c>
      <c r="E323" s="1014">
        <f>SUM(F323:G323)</f>
        <v>300000</v>
      </c>
      <c r="F323" s="977">
        <v>300000</v>
      </c>
      <c r="G323" s="1015">
        <v>0</v>
      </c>
    </row>
    <row r="324" spans="1:7" s="374" customFormat="1" ht="38.25">
      <c r="A324" s="1005"/>
      <c r="B324" s="886"/>
      <c r="C324" s="996">
        <v>6320</v>
      </c>
      <c r="D324" s="976" t="s">
        <v>471</v>
      </c>
      <c r="E324" s="1006">
        <f>SUM(F324:G324)</f>
        <v>2700000</v>
      </c>
      <c r="F324" s="699"/>
      <c r="G324" s="1007">
        <v>2700000</v>
      </c>
    </row>
    <row r="325" spans="1:7" s="374" customFormat="1" ht="39" thickBot="1">
      <c r="A325" s="1016"/>
      <c r="B325" s="980"/>
      <c r="C325" s="1000">
        <v>6620</v>
      </c>
      <c r="D325" s="989" t="s">
        <v>470</v>
      </c>
      <c r="E325" s="1017">
        <f>SUM(F325:G325)</f>
        <v>1350000</v>
      </c>
      <c r="F325" s="983"/>
      <c r="G325" s="1001">
        <v>1350000</v>
      </c>
    </row>
    <row r="326" spans="1:7" ht="13.5" thickTop="1">
      <c r="A326" s="1302">
        <v>853</v>
      </c>
      <c r="B326" s="387"/>
      <c r="C326" s="410"/>
      <c r="D326" s="430"/>
      <c r="E326" s="403"/>
      <c r="F326" s="688"/>
      <c r="G326" s="344"/>
    </row>
    <row r="327" spans="1:7" ht="12.75">
      <c r="A327" s="1302"/>
      <c r="B327" s="354"/>
      <c r="C327" s="409"/>
      <c r="D327" s="427" t="s">
        <v>523</v>
      </c>
      <c r="E327" s="815">
        <f>F327+G327</f>
        <v>10000</v>
      </c>
      <c r="F327" s="686">
        <f>F329</f>
        <v>10000</v>
      </c>
      <c r="G327" s="347">
        <f>G329</f>
        <v>0</v>
      </c>
    </row>
    <row r="328" spans="1:7" ht="12.75">
      <c r="A328" s="338"/>
      <c r="B328" s="387"/>
      <c r="C328" s="958"/>
      <c r="D328" s="434"/>
      <c r="E328" s="1018"/>
      <c r="F328" s="694"/>
      <c r="G328" s="1019"/>
    </row>
    <row r="329" spans="1:7" ht="14.25" customHeight="1">
      <c r="A329" s="338"/>
      <c r="B329" s="387">
        <v>85395</v>
      </c>
      <c r="C329" s="814"/>
      <c r="D329" s="427" t="s">
        <v>407</v>
      </c>
      <c r="E329" s="815">
        <f>SUM(E331:E331)</f>
        <v>10000</v>
      </c>
      <c r="F329" s="686">
        <f>SUM(F331:F331)</f>
        <v>10000</v>
      </c>
      <c r="G329" s="347">
        <f>SUM(G331:G331)</f>
        <v>0</v>
      </c>
    </row>
    <row r="330" spans="1:7" ht="14.25" customHeight="1">
      <c r="A330" s="338"/>
      <c r="B330" s="387"/>
      <c r="C330" s="816"/>
      <c r="D330" s="689"/>
      <c r="E330" s="403"/>
      <c r="F330" s="817"/>
      <c r="G330" s="818"/>
    </row>
    <row r="331" spans="1:7" ht="26.25" thickBot="1">
      <c r="A331" s="338"/>
      <c r="B331" s="387"/>
      <c r="C331" s="410">
        <v>2320</v>
      </c>
      <c r="D331" s="819" t="s">
        <v>285</v>
      </c>
      <c r="E331" s="403">
        <f>SUM(F331:G331)</f>
        <v>10000</v>
      </c>
      <c r="F331" s="688">
        <v>10000</v>
      </c>
      <c r="G331" s="344"/>
    </row>
    <row r="332" spans="1:7" ht="14.25" customHeight="1">
      <c r="A332" s="821"/>
      <c r="B332" s="803"/>
      <c r="C332" s="802"/>
      <c r="D332" s="803"/>
      <c r="E332" s="822"/>
      <c r="F332" s="1020"/>
      <c r="G332" s="773"/>
    </row>
    <row r="333" spans="1:7" ht="14.25" customHeight="1" thickBot="1">
      <c r="A333" s="823"/>
      <c r="B333" s="824"/>
      <c r="C333" s="825"/>
      <c r="D333" s="807" t="s">
        <v>393</v>
      </c>
      <c r="E333" s="711">
        <f>E317+E329</f>
        <v>4960000</v>
      </c>
      <c r="F333" s="712">
        <f>F317+F329</f>
        <v>310000</v>
      </c>
      <c r="G333" s="776">
        <f>SUM(G317)</f>
        <v>4650000</v>
      </c>
    </row>
    <row r="336" ht="12">
      <c r="E336" s="954"/>
    </row>
  </sheetData>
  <mergeCells count="33">
    <mergeCell ref="E313:E314"/>
    <mergeCell ref="F313:G313"/>
    <mergeCell ref="A313:A314"/>
    <mergeCell ref="B313:B314"/>
    <mergeCell ref="C313:C314"/>
    <mergeCell ref="D313:D314"/>
    <mergeCell ref="E247:E248"/>
    <mergeCell ref="F247:G247"/>
    <mergeCell ref="A310:G310"/>
    <mergeCell ref="A311:G311"/>
    <mergeCell ref="A247:A248"/>
    <mergeCell ref="B247:B248"/>
    <mergeCell ref="C247:C248"/>
    <mergeCell ref="D247:D248"/>
    <mergeCell ref="E47:E48"/>
    <mergeCell ref="F47:G47"/>
    <mergeCell ref="A244:G244"/>
    <mergeCell ref="A245:G245"/>
    <mergeCell ref="A3:G3"/>
    <mergeCell ref="B6:B7"/>
    <mergeCell ref="C6:D7"/>
    <mergeCell ref="E6:E7"/>
    <mergeCell ref="F6:G6"/>
    <mergeCell ref="A326:A327"/>
    <mergeCell ref="A4:G4"/>
    <mergeCell ref="C8:D8"/>
    <mergeCell ref="C10:D10"/>
    <mergeCell ref="A43:G43"/>
    <mergeCell ref="A44:G44"/>
    <mergeCell ref="A47:A48"/>
    <mergeCell ref="B47:B48"/>
    <mergeCell ref="C47:C48"/>
    <mergeCell ref="D47:D48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5" horizontalDpi="300" verticalDpi="300" orientation="landscape" paperSize="9" scale="85" r:id="rId1"/>
  <rowBreaks count="10" manualBreakCount="10">
    <brk id="42" max="6" man="1"/>
    <brk id="85" max="6" man="1"/>
    <brk id="121" max="6" man="1"/>
    <brk id="147" max="6" man="1"/>
    <brk id="181" max="6" man="1"/>
    <brk id="217" max="6" man="1"/>
    <brk id="243" max="6" man="1"/>
    <brk id="286" max="6" man="1"/>
    <brk id="309" max="6" man="1"/>
    <brk id="33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I16"/>
  <sheetViews>
    <sheetView showGridLines="0" view="pageBreakPreview" zoomScaleSheetLayoutView="100" workbookViewId="0" topLeftCell="A1">
      <selection activeCell="K21" sqref="K21"/>
    </sheetView>
  </sheetViews>
  <sheetFormatPr defaultColWidth="9.00390625" defaultRowHeight="12"/>
  <cols>
    <col min="1" max="1" width="5.375" style="330" bestFit="1" customWidth="1"/>
    <col min="2" max="2" width="45.00390625" style="330" customWidth="1"/>
    <col min="3" max="3" width="7.875" style="330" customWidth="1"/>
    <col min="4" max="4" width="9.75390625" style="330" bestFit="1" customWidth="1"/>
    <col min="5" max="5" width="11.25390625" style="330" customWidth="1"/>
    <col min="6" max="6" width="12.375" style="330" customWidth="1"/>
    <col min="7" max="7" width="14.125" style="60" customWidth="1"/>
    <col min="8" max="8" width="8.75390625" style="330" customWidth="1"/>
    <col min="9" max="16384" width="9.125" style="330" customWidth="1"/>
  </cols>
  <sheetData>
    <row r="1" spans="1:7" ht="46.5" customHeight="1">
      <c r="A1" s="10"/>
      <c r="B1" s="10"/>
      <c r="C1" s="10"/>
      <c r="D1" s="28"/>
      <c r="E1" s="28"/>
      <c r="F1" s="1439" t="s">
        <v>68</v>
      </c>
      <c r="G1" s="1439"/>
    </row>
    <row r="3" spans="1:9" s="10" customFormat="1" ht="69" customHeight="1">
      <c r="A3" s="1346" t="s">
        <v>361</v>
      </c>
      <c r="B3" s="1325"/>
      <c r="C3" s="1325"/>
      <c r="D3" s="1325"/>
      <c r="E3" s="1325"/>
      <c r="F3" s="1325"/>
      <c r="G3" s="1325"/>
      <c r="H3" s="1"/>
      <c r="I3" s="1"/>
    </row>
    <row r="4" spans="1:7" ht="15" thickBot="1">
      <c r="A4" s="13"/>
      <c r="B4" s="13"/>
      <c r="C4" s="13"/>
      <c r="D4" s="13"/>
      <c r="E4" s="13"/>
      <c r="F4" s="13"/>
      <c r="G4" s="57" t="s">
        <v>593</v>
      </c>
    </row>
    <row r="5" spans="1:7" s="10" customFormat="1" ht="15" customHeight="1">
      <c r="A5" s="1288" t="s">
        <v>592</v>
      </c>
      <c r="B5" s="1440" t="s">
        <v>129</v>
      </c>
      <c r="C5" s="1435" t="s">
        <v>375</v>
      </c>
      <c r="D5" s="1435" t="s">
        <v>394</v>
      </c>
      <c r="E5" s="1444" t="s">
        <v>335</v>
      </c>
      <c r="F5" s="1445"/>
      <c r="G5" s="1446"/>
    </row>
    <row r="6" spans="1:7" s="10" customFormat="1" ht="15" customHeight="1">
      <c r="A6" s="1449"/>
      <c r="B6" s="1441"/>
      <c r="C6" s="1443"/>
      <c r="D6" s="1443"/>
      <c r="E6" s="1447" t="s">
        <v>294</v>
      </c>
      <c r="F6" s="1453" t="s">
        <v>556</v>
      </c>
      <c r="G6" s="1454"/>
    </row>
    <row r="7" spans="1:7" s="10" customFormat="1" ht="44.25" customHeight="1">
      <c r="A7" s="1289"/>
      <c r="B7" s="1442"/>
      <c r="C7" s="1436"/>
      <c r="D7" s="1436"/>
      <c r="E7" s="1448"/>
      <c r="F7" s="510" t="s">
        <v>182</v>
      </c>
      <c r="G7" s="511" t="s">
        <v>183</v>
      </c>
    </row>
    <row r="8" spans="1:7" s="10" customFormat="1" ht="12.75" thickBot="1">
      <c r="A8" s="490">
        <v>1</v>
      </c>
      <c r="B8" s="491">
        <v>2</v>
      </c>
      <c r="C8" s="491">
        <v>3</v>
      </c>
      <c r="D8" s="491">
        <v>4</v>
      </c>
      <c r="E8" s="491">
        <v>5</v>
      </c>
      <c r="F8" s="491">
        <v>6</v>
      </c>
      <c r="G8" s="495">
        <v>7</v>
      </c>
    </row>
    <row r="9" spans="1:7" s="10" customFormat="1" ht="12.75">
      <c r="A9" s="30"/>
      <c r="B9" s="34" t="s">
        <v>333</v>
      </c>
      <c r="C9" s="37"/>
      <c r="D9" s="37"/>
      <c r="E9" s="37"/>
      <c r="F9" s="38"/>
      <c r="G9" s="216"/>
    </row>
    <row r="10" spans="1:7" s="60" customFormat="1" ht="25.5">
      <c r="A10" s="631" t="s">
        <v>639</v>
      </c>
      <c r="B10" s="642" t="s">
        <v>360</v>
      </c>
      <c r="C10" s="643">
        <v>853</v>
      </c>
      <c r="D10" s="643">
        <v>85395</v>
      </c>
      <c r="E10" s="644">
        <f>SUM(F10:G10)</f>
        <v>75000</v>
      </c>
      <c r="F10" s="645">
        <v>75000</v>
      </c>
      <c r="G10" s="358"/>
    </row>
    <row r="11" spans="1:7" s="10" customFormat="1" ht="13.5" thickBot="1">
      <c r="A11" s="631"/>
      <c r="B11" s="34"/>
      <c r="C11" s="34"/>
      <c r="D11" s="34"/>
      <c r="E11" s="83"/>
      <c r="F11" s="84"/>
      <c r="G11" s="85"/>
    </row>
    <row r="12" spans="1:7" s="10" customFormat="1" ht="12.75">
      <c r="A12" s="280"/>
      <c r="B12" s="54"/>
      <c r="C12" s="54"/>
      <c r="D12" s="54"/>
      <c r="E12" s="281"/>
      <c r="F12" s="281"/>
      <c r="G12" s="282"/>
    </row>
    <row r="13" spans="1:7" s="10" customFormat="1" ht="13.5" thickBot="1">
      <c r="A13" s="283"/>
      <c r="B13" s="284" t="s">
        <v>393</v>
      </c>
      <c r="C13" s="285" t="s">
        <v>594</v>
      </c>
      <c r="D13" s="285" t="s">
        <v>594</v>
      </c>
      <c r="E13" s="286">
        <f>SUM(E10:E11)</f>
        <v>75000</v>
      </c>
      <c r="F13" s="286">
        <f>SUM(F10:F12)</f>
        <v>75000</v>
      </c>
      <c r="G13" s="287">
        <f>SUM(G10:G11)</f>
        <v>0</v>
      </c>
    </row>
    <row r="14" spans="1:6" ht="12">
      <c r="A14" s="10"/>
      <c r="B14" s="10"/>
      <c r="C14" s="10"/>
      <c r="D14" s="10"/>
      <c r="E14" s="10"/>
      <c r="F14" s="10"/>
    </row>
    <row r="15" ht="12">
      <c r="G15" s="570"/>
    </row>
    <row r="16" ht="12">
      <c r="G16" s="330"/>
    </row>
  </sheetData>
  <mergeCells count="9">
    <mergeCell ref="F1:G1"/>
    <mergeCell ref="A3:G3"/>
    <mergeCell ref="B5:B7"/>
    <mergeCell ref="C5:C7"/>
    <mergeCell ref="D5:D7"/>
    <mergeCell ref="E5:G5"/>
    <mergeCell ref="E6:E7"/>
    <mergeCell ref="F6:G6"/>
    <mergeCell ref="A5:A7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20"/>
  <sheetViews>
    <sheetView showGridLines="0" view="pageBreakPreview" zoomScaleSheetLayoutView="100" workbookViewId="0" topLeftCell="A1">
      <selection activeCell="I27" sqref="I27"/>
    </sheetView>
  </sheetViews>
  <sheetFormatPr defaultColWidth="9.00390625" defaultRowHeight="12"/>
  <cols>
    <col min="1" max="1" width="5.375" style="10" bestFit="1" customWidth="1"/>
    <col min="2" max="2" width="32.375" style="10" customWidth="1"/>
    <col min="3" max="3" width="44.375" style="10" customWidth="1"/>
    <col min="4" max="4" width="7.875" style="10" customWidth="1"/>
    <col min="5" max="5" width="9.75390625" style="10" bestFit="1" customWidth="1"/>
    <col min="6" max="6" width="11.25390625" style="10" customWidth="1"/>
    <col min="7" max="7" width="12.375" style="10" customWidth="1"/>
    <col min="8" max="8" width="14.125" style="60" customWidth="1"/>
    <col min="9" max="9" width="8.75390625" style="10" customWidth="1"/>
    <col min="10" max="16384" width="9.125" style="10" customWidth="1"/>
  </cols>
  <sheetData>
    <row r="1" spans="5:8" ht="46.5" customHeight="1">
      <c r="E1" s="28"/>
      <c r="F1" s="28"/>
      <c r="G1" s="1439" t="s">
        <v>67</v>
      </c>
      <c r="H1" s="1439"/>
    </row>
    <row r="3" spans="1:10" ht="40.5" customHeight="1">
      <c r="A3" s="1346" t="s">
        <v>234</v>
      </c>
      <c r="B3" s="1346"/>
      <c r="C3" s="1325"/>
      <c r="D3" s="1325"/>
      <c r="E3" s="1325"/>
      <c r="F3" s="1325"/>
      <c r="G3" s="1325"/>
      <c r="H3" s="1325"/>
      <c r="I3" s="1"/>
      <c r="J3" s="1"/>
    </row>
    <row r="4" spans="1:8" ht="15" thickBot="1">
      <c r="A4" s="13"/>
      <c r="B4" s="13"/>
      <c r="C4" s="13"/>
      <c r="D4" s="13"/>
      <c r="E4" s="13"/>
      <c r="F4" s="13"/>
      <c r="G4" s="13"/>
      <c r="H4" s="57" t="s">
        <v>593</v>
      </c>
    </row>
    <row r="5" spans="1:8" ht="15" customHeight="1">
      <c r="A5" s="1288" t="s">
        <v>592</v>
      </c>
      <c r="B5" s="1456" t="s">
        <v>238</v>
      </c>
      <c r="C5" s="1440" t="s">
        <v>203</v>
      </c>
      <c r="D5" s="1435" t="s">
        <v>375</v>
      </c>
      <c r="E5" s="1435" t="s">
        <v>394</v>
      </c>
      <c r="F5" s="1444" t="s">
        <v>335</v>
      </c>
      <c r="G5" s="1445"/>
      <c r="H5" s="1446"/>
    </row>
    <row r="6" spans="1:8" ht="15" customHeight="1">
      <c r="A6" s="1449"/>
      <c r="B6" s="1447"/>
      <c r="C6" s="1441"/>
      <c r="D6" s="1443"/>
      <c r="E6" s="1443"/>
      <c r="F6" s="1447" t="s">
        <v>294</v>
      </c>
      <c r="G6" s="1453" t="s">
        <v>556</v>
      </c>
      <c r="H6" s="1454"/>
    </row>
    <row r="7" spans="1:8" ht="44.25" customHeight="1">
      <c r="A7" s="1289"/>
      <c r="B7" s="1448"/>
      <c r="C7" s="1442"/>
      <c r="D7" s="1436"/>
      <c r="E7" s="1436"/>
      <c r="F7" s="1448"/>
      <c r="G7" s="510" t="s">
        <v>182</v>
      </c>
      <c r="H7" s="511" t="s">
        <v>183</v>
      </c>
    </row>
    <row r="8" spans="1:8" ht="12.75" thickBot="1">
      <c r="A8" s="490">
        <v>1</v>
      </c>
      <c r="B8" s="527">
        <v>2</v>
      </c>
      <c r="C8" s="491">
        <v>3</v>
      </c>
      <c r="D8" s="491">
        <v>4</v>
      </c>
      <c r="E8" s="491">
        <v>5</v>
      </c>
      <c r="F8" s="491">
        <v>6</v>
      </c>
      <c r="G8" s="491">
        <v>7</v>
      </c>
      <c r="H8" s="495">
        <v>8</v>
      </c>
    </row>
    <row r="9" spans="1:8" ht="12.75">
      <c r="A9" s="30"/>
      <c r="B9" s="885"/>
      <c r="C9" s="34" t="s">
        <v>333</v>
      </c>
      <c r="D9" s="37"/>
      <c r="E9" s="37"/>
      <c r="F9" s="37"/>
      <c r="G9" s="38"/>
      <c r="H9" s="216"/>
    </row>
    <row r="10" spans="1:8" s="60" customFormat="1" ht="25.5">
      <c r="A10" s="631" t="s">
        <v>639</v>
      </c>
      <c r="B10" s="888" t="s">
        <v>236</v>
      </c>
      <c r="C10" s="642" t="s">
        <v>235</v>
      </c>
      <c r="D10" s="643">
        <v>600</v>
      </c>
      <c r="E10" s="643">
        <v>60004</v>
      </c>
      <c r="F10" s="644">
        <f>SUM(G10:H10)</f>
        <v>300000</v>
      </c>
      <c r="G10" s="645"/>
      <c r="H10" s="358">
        <v>300000</v>
      </c>
    </row>
    <row r="11" spans="1:8" ht="12.75">
      <c r="A11" s="631"/>
      <c r="B11" s="888"/>
      <c r="C11" s="34"/>
      <c r="D11" s="34"/>
      <c r="E11" s="34"/>
      <c r="F11" s="83"/>
      <c r="G11" s="84"/>
      <c r="H11" s="85"/>
    </row>
    <row r="12" spans="1:8" s="58" customFormat="1" ht="12.75">
      <c r="A12" s="631" t="s">
        <v>640</v>
      </c>
      <c r="B12" s="888" t="s">
        <v>237</v>
      </c>
      <c r="C12" s="642" t="s">
        <v>617</v>
      </c>
      <c r="D12" s="88">
        <v>600</v>
      </c>
      <c r="E12" s="88">
        <v>60013</v>
      </c>
      <c r="F12" s="641">
        <f>SUM(G12:H12)</f>
        <v>500000</v>
      </c>
      <c r="G12" s="90"/>
      <c r="H12" s="278">
        <v>500000</v>
      </c>
    </row>
    <row r="13" spans="1:8" ht="12.75">
      <c r="A13" s="631"/>
      <c r="B13" s="888"/>
      <c r="C13" s="34"/>
      <c r="D13" s="34"/>
      <c r="E13" s="34"/>
      <c r="F13" s="83"/>
      <c r="G13" s="84"/>
      <c r="H13" s="85"/>
    </row>
    <row r="14" spans="1:8" s="58" customFormat="1" ht="25.5">
      <c r="A14" s="631" t="s">
        <v>641</v>
      </c>
      <c r="B14" s="888" t="s">
        <v>457</v>
      </c>
      <c r="C14" s="642" t="s">
        <v>464</v>
      </c>
      <c r="D14" s="88">
        <v>600</v>
      </c>
      <c r="E14" s="88">
        <v>60014</v>
      </c>
      <c r="F14" s="641">
        <f>SUM(G14:H14)</f>
        <v>200000</v>
      </c>
      <c r="G14" s="90"/>
      <c r="H14" s="278">
        <v>200000</v>
      </c>
    </row>
    <row r="15" spans="1:8" s="58" customFormat="1" ht="13.5" thickBot="1">
      <c r="A15" s="378"/>
      <c r="B15" s="886"/>
      <c r="C15" s="86"/>
      <c r="D15" s="88"/>
      <c r="E15" s="88"/>
      <c r="F15" s="89"/>
      <c r="G15" s="89"/>
      <c r="H15" s="91"/>
    </row>
    <row r="16" spans="1:8" ht="12.75">
      <c r="A16" s="280"/>
      <c r="B16" s="887"/>
      <c r="C16" s="54"/>
      <c r="D16" s="54"/>
      <c r="E16" s="54"/>
      <c r="F16" s="281"/>
      <c r="G16" s="281"/>
      <c r="H16" s="282"/>
    </row>
    <row r="17" spans="1:8" ht="13.5" thickBot="1">
      <c r="A17" s="283"/>
      <c r="B17" s="320"/>
      <c r="C17" s="284" t="s">
        <v>393</v>
      </c>
      <c r="D17" s="285" t="s">
        <v>594</v>
      </c>
      <c r="E17" s="285" t="s">
        <v>594</v>
      </c>
      <c r="F17" s="286">
        <f>SUM(F10:F15)</f>
        <v>1000000</v>
      </c>
      <c r="G17" s="286">
        <f>SUM(G10:G16)</f>
        <v>0</v>
      </c>
      <c r="H17" s="287">
        <f>SUM(H10:H15)</f>
        <v>1000000</v>
      </c>
    </row>
    <row r="19" ht="12">
      <c r="H19" s="97"/>
    </row>
    <row r="20" ht="12">
      <c r="H20" s="10"/>
    </row>
  </sheetData>
  <mergeCells count="10">
    <mergeCell ref="G1:H1"/>
    <mergeCell ref="A3:H3"/>
    <mergeCell ref="C5:C7"/>
    <mergeCell ref="D5:D7"/>
    <mergeCell ref="E5:E7"/>
    <mergeCell ref="F5:H5"/>
    <mergeCell ref="F6:F7"/>
    <mergeCell ref="G6:H6"/>
    <mergeCell ref="A5:A7"/>
    <mergeCell ref="B5:B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R203"/>
  <sheetViews>
    <sheetView showGridLines="0" view="pageBreakPreview" zoomScale="90" zoomScaleNormal="90" zoomScaleSheetLayoutView="90" workbookViewId="0" topLeftCell="A1">
      <selection activeCell="P9" sqref="P9"/>
    </sheetView>
  </sheetViews>
  <sheetFormatPr defaultColWidth="9.00390625" defaultRowHeight="12"/>
  <cols>
    <col min="1" max="1" width="4.375" style="603" bestFit="1" customWidth="1"/>
    <col min="2" max="2" width="4.875" style="64" bestFit="1" customWidth="1"/>
    <col min="3" max="3" width="8.25390625" style="64" bestFit="1" customWidth="1"/>
    <col min="4" max="4" width="35.875" style="231" bestFit="1" customWidth="1"/>
    <col min="5" max="5" width="38.875" style="231" bestFit="1" customWidth="1"/>
    <col min="6" max="6" width="21.25390625" style="231" customWidth="1"/>
    <col min="7" max="7" width="11.625" style="68" customWidth="1"/>
    <col min="8" max="8" width="11.875" style="68" bestFit="1" customWidth="1"/>
    <col min="9" max="9" width="17.125" style="68" customWidth="1"/>
    <col min="10" max="10" width="17.875" style="68" bestFit="1" customWidth="1"/>
    <col min="11" max="11" width="21.125" style="68" customWidth="1"/>
    <col min="12" max="12" width="15.125" style="68" customWidth="1"/>
    <col min="13" max="14" width="14.875" style="68" customWidth="1"/>
    <col min="15" max="15" width="12.875" style="10" bestFit="1" customWidth="1"/>
    <col min="16" max="16" width="15.25390625" style="10" bestFit="1" customWidth="1"/>
    <col min="17" max="17" width="11.75390625" style="10" bestFit="1" customWidth="1"/>
    <col min="18" max="18" width="10.25390625" style="10" bestFit="1" customWidth="1"/>
    <col min="19" max="16384" width="9.125" style="10" customWidth="1"/>
  </cols>
  <sheetData>
    <row r="1" spans="1:14" ht="59.25" customHeight="1">
      <c r="A1" s="614"/>
      <c r="B1" s="276"/>
      <c r="C1" s="67"/>
      <c r="D1" s="67"/>
      <c r="E1" s="67"/>
      <c r="F1" s="67"/>
      <c r="G1" s="67"/>
      <c r="H1" s="67"/>
      <c r="I1" s="67"/>
      <c r="J1" s="67"/>
      <c r="K1" s="67"/>
      <c r="L1" s="263"/>
      <c r="M1" s="1481" t="s">
        <v>64</v>
      </c>
      <c r="N1" s="1481"/>
    </row>
    <row r="2" spans="1:14" ht="51" customHeight="1">
      <c r="A2" s="1482" t="s">
        <v>201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/>
    </row>
    <row r="3" spans="1:14" ht="18.75" thickBot="1">
      <c r="A3" s="615"/>
      <c r="B3" s="156"/>
      <c r="C3" s="156"/>
      <c r="D3" s="156"/>
      <c r="E3" s="156"/>
      <c r="F3" s="156"/>
      <c r="G3" s="156"/>
      <c r="H3" s="156"/>
      <c r="I3" s="891"/>
      <c r="J3" s="891"/>
      <c r="K3" s="156"/>
      <c r="L3" s="633"/>
      <c r="M3" s="618"/>
      <c r="N3" s="619" t="s">
        <v>593</v>
      </c>
    </row>
    <row r="4" spans="1:14" s="277" customFormat="1" ht="36.75" customHeight="1">
      <c r="A4" s="1484" t="s">
        <v>595</v>
      </c>
      <c r="B4" s="1474" t="s">
        <v>375</v>
      </c>
      <c r="C4" s="1474" t="s">
        <v>394</v>
      </c>
      <c r="D4" s="1474" t="s">
        <v>109</v>
      </c>
      <c r="E4" s="1474" t="s">
        <v>110</v>
      </c>
      <c r="F4" s="1474" t="s">
        <v>397</v>
      </c>
      <c r="G4" s="1474" t="s">
        <v>53</v>
      </c>
      <c r="H4" s="1474"/>
      <c r="I4" s="1474" t="s">
        <v>398</v>
      </c>
      <c r="J4" s="1474" t="s">
        <v>141</v>
      </c>
      <c r="K4" s="1479" t="s">
        <v>111</v>
      </c>
      <c r="L4" s="1486" t="s">
        <v>135</v>
      </c>
      <c r="M4" s="1486"/>
      <c r="N4" s="1487"/>
    </row>
    <row r="5" spans="1:14" s="277" customFormat="1" ht="45.75" customHeight="1">
      <c r="A5" s="1485"/>
      <c r="B5" s="1475"/>
      <c r="C5" s="1475"/>
      <c r="D5" s="1475"/>
      <c r="E5" s="1475"/>
      <c r="F5" s="1475"/>
      <c r="G5" s="512" t="s">
        <v>399</v>
      </c>
      <c r="H5" s="512" t="s">
        <v>400</v>
      </c>
      <c r="I5" s="1475"/>
      <c r="J5" s="1475"/>
      <c r="K5" s="1480"/>
      <c r="L5" s="634">
        <v>2009</v>
      </c>
      <c r="M5" s="513">
        <v>2010</v>
      </c>
      <c r="N5" s="514">
        <v>2011</v>
      </c>
    </row>
    <row r="6" spans="1:14" s="363" customFormat="1" ht="15" customHeight="1" thickBot="1">
      <c r="A6" s="604">
        <v>1</v>
      </c>
      <c r="B6" s="605">
        <v>2</v>
      </c>
      <c r="C6" s="605">
        <v>3</v>
      </c>
      <c r="D6" s="606">
        <v>4</v>
      </c>
      <c r="E6" s="606">
        <v>5</v>
      </c>
      <c r="F6" s="606">
        <v>6</v>
      </c>
      <c r="G6" s="606">
        <v>7</v>
      </c>
      <c r="H6" s="606">
        <v>8</v>
      </c>
      <c r="I6" s="606">
        <v>9</v>
      </c>
      <c r="J6" s="606">
        <v>10</v>
      </c>
      <c r="K6" s="606">
        <v>11</v>
      </c>
      <c r="L6" s="635">
        <v>12</v>
      </c>
      <c r="M6" s="606">
        <v>13</v>
      </c>
      <c r="N6" s="620">
        <v>14</v>
      </c>
    </row>
    <row r="7" spans="1:16" s="899" customFormat="1" ht="14.25" customHeight="1">
      <c r="A7" s="1460" t="s">
        <v>639</v>
      </c>
      <c r="B7" s="1463">
        <v>600</v>
      </c>
      <c r="C7" s="1463">
        <v>60013</v>
      </c>
      <c r="D7" s="1466" t="s">
        <v>107</v>
      </c>
      <c r="E7" s="1466" t="s">
        <v>74</v>
      </c>
      <c r="F7" s="1476" t="s">
        <v>140</v>
      </c>
      <c r="G7" s="1463">
        <v>2006</v>
      </c>
      <c r="H7" s="1463">
        <v>2010</v>
      </c>
      <c r="I7" s="1457">
        <v>3039962</v>
      </c>
      <c r="J7" s="1457">
        <v>2640000</v>
      </c>
      <c r="K7" s="609" t="s">
        <v>138</v>
      </c>
      <c r="L7" s="612">
        <f>SUM(L8:L10)</f>
        <v>1320000</v>
      </c>
      <c r="M7" s="612">
        <f>SUM(M8:M10)</f>
        <v>1320000</v>
      </c>
      <c r="N7" s="613">
        <f>SUM(N8:N10)</f>
        <v>0</v>
      </c>
      <c r="O7" s="897"/>
      <c r="P7" s="898"/>
    </row>
    <row r="8" spans="1:18" s="899" customFormat="1" ht="12.75">
      <c r="A8" s="1461"/>
      <c r="B8" s="1464"/>
      <c r="C8" s="1464"/>
      <c r="D8" s="1467"/>
      <c r="E8" s="1467"/>
      <c r="F8" s="1470"/>
      <c r="G8" s="1464"/>
      <c r="H8" s="1464"/>
      <c r="I8" s="1458"/>
      <c r="J8" s="1458"/>
      <c r="K8" s="608" t="s">
        <v>14</v>
      </c>
      <c r="L8" s="607">
        <v>198000</v>
      </c>
      <c r="M8" s="607">
        <v>198000</v>
      </c>
      <c r="N8" s="610"/>
      <c r="O8" s="900"/>
      <c r="P8" s="901"/>
      <c r="R8" s="897"/>
    </row>
    <row r="9" spans="1:16" s="899" customFormat="1" ht="12.75">
      <c r="A9" s="1461"/>
      <c r="B9" s="1464"/>
      <c r="C9" s="1464"/>
      <c r="D9" s="1467"/>
      <c r="E9" s="1467"/>
      <c r="F9" s="1470"/>
      <c r="G9" s="1464"/>
      <c r="H9" s="1464"/>
      <c r="I9" s="1458"/>
      <c r="J9" s="1458"/>
      <c r="K9" s="608" t="s">
        <v>136</v>
      </c>
      <c r="L9" s="607">
        <v>1122000</v>
      </c>
      <c r="M9" s="607">
        <v>1122000</v>
      </c>
      <c r="N9" s="610"/>
      <c r="O9" s="900"/>
      <c r="P9" s="902"/>
    </row>
    <row r="10" spans="1:15" s="903" customFormat="1" ht="13.5" thickBot="1">
      <c r="A10" s="1462"/>
      <c r="B10" s="1465"/>
      <c r="C10" s="1465"/>
      <c r="D10" s="1468"/>
      <c r="E10" s="1468"/>
      <c r="F10" s="1471"/>
      <c r="G10" s="1465"/>
      <c r="H10" s="1465"/>
      <c r="I10" s="1459"/>
      <c r="J10" s="1459"/>
      <c r="K10" s="611" t="s">
        <v>137</v>
      </c>
      <c r="L10" s="413">
        <v>0</v>
      </c>
      <c r="M10" s="413"/>
      <c r="N10" s="414"/>
      <c r="O10" s="897"/>
    </row>
    <row r="11" spans="1:17" s="899" customFormat="1" ht="12.75" customHeight="1">
      <c r="A11" s="1460" t="s">
        <v>640</v>
      </c>
      <c r="B11" s="1463">
        <v>750</v>
      </c>
      <c r="C11" s="1463">
        <v>75023</v>
      </c>
      <c r="D11" s="1466" t="s">
        <v>107</v>
      </c>
      <c r="E11" s="1466" t="s">
        <v>143</v>
      </c>
      <c r="F11" s="1476" t="s">
        <v>144</v>
      </c>
      <c r="G11" s="1463">
        <v>2008</v>
      </c>
      <c r="H11" s="1463">
        <v>2010</v>
      </c>
      <c r="I11" s="1457">
        <v>1144900</v>
      </c>
      <c r="J11" s="1457">
        <v>1142900</v>
      </c>
      <c r="K11" s="609" t="s">
        <v>138</v>
      </c>
      <c r="L11" s="612">
        <f>SUM(L12:L14)</f>
        <v>621900</v>
      </c>
      <c r="M11" s="612">
        <f>SUM(M12:M14)</f>
        <v>501000</v>
      </c>
      <c r="N11" s="613">
        <f>SUM(N12:N14)</f>
        <v>0</v>
      </c>
      <c r="O11" s="897"/>
      <c r="P11" s="898"/>
      <c r="Q11" s="897"/>
    </row>
    <row r="12" spans="1:16" s="899" customFormat="1" ht="12.75">
      <c r="A12" s="1461"/>
      <c r="B12" s="1464"/>
      <c r="C12" s="1464"/>
      <c r="D12" s="1467"/>
      <c r="E12" s="1467"/>
      <c r="F12" s="1470"/>
      <c r="G12" s="1464"/>
      <c r="H12" s="1464"/>
      <c r="I12" s="1458"/>
      <c r="J12" s="1458"/>
      <c r="K12" s="608" t="s">
        <v>14</v>
      </c>
      <c r="L12" s="607">
        <v>93285</v>
      </c>
      <c r="M12" s="953">
        <v>75150</v>
      </c>
      <c r="N12" s="610"/>
      <c r="O12" s="900"/>
      <c r="P12" s="901"/>
    </row>
    <row r="13" spans="1:16" s="899" customFormat="1" ht="12.75">
      <c r="A13" s="1461"/>
      <c r="B13" s="1464"/>
      <c r="C13" s="1464"/>
      <c r="D13" s="1467"/>
      <c r="E13" s="1467"/>
      <c r="F13" s="1470"/>
      <c r="G13" s="1464"/>
      <c r="H13" s="1464"/>
      <c r="I13" s="1458"/>
      <c r="J13" s="1458"/>
      <c r="K13" s="608" t="s">
        <v>136</v>
      </c>
      <c r="L13" s="607">
        <v>528615</v>
      </c>
      <c r="M13" s="953">
        <v>425850</v>
      </c>
      <c r="N13" s="610"/>
      <c r="O13" s="900"/>
      <c r="P13" s="902"/>
    </row>
    <row r="14" spans="1:15" s="903" customFormat="1" ht="13.5" thickBot="1">
      <c r="A14" s="1462"/>
      <c r="B14" s="1465"/>
      <c r="C14" s="1465"/>
      <c r="D14" s="1468"/>
      <c r="E14" s="1468"/>
      <c r="F14" s="1471"/>
      <c r="G14" s="1465"/>
      <c r="H14" s="1465"/>
      <c r="I14" s="1459"/>
      <c r="J14" s="1459"/>
      <c r="K14" s="611" t="s">
        <v>137</v>
      </c>
      <c r="L14" s="413">
        <v>0</v>
      </c>
      <c r="M14" s="413"/>
      <c r="N14" s="414"/>
      <c r="O14" s="897"/>
    </row>
    <row r="15" spans="1:15" s="60" customFormat="1" ht="12.75" customHeight="1">
      <c r="A15" s="1460" t="s">
        <v>641</v>
      </c>
      <c r="B15" s="1463">
        <v>801</v>
      </c>
      <c r="C15" s="1463">
        <v>80101</v>
      </c>
      <c r="D15" s="1466" t="s">
        <v>319</v>
      </c>
      <c r="E15" s="1466" t="s">
        <v>317</v>
      </c>
      <c r="F15" s="1469" t="s">
        <v>318</v>
      </c>
      <c r="G15" s="1463">
        <v>2009</v>
      </c>
      <c r="H15" s="1463">
        <v>2009</v>
      </c>
      <c r="I15" s="1457">
        <v>3000</v>
      </c>
      <c r="J15" s="1457">
        <v>3000</v>
      </c>
      <c r="K15" s="609" t="s">
        <v>138</v>
      </c>
      <c r="L15" s="612">
        <f>SUM(L16:L18)</f>
        <v>3000</v>
      </c>
      <c r="M15" s="612">
        <f>SUM(M16:M18)</f>
        <v>0</v>
      </c>
      <c r="N15" s="613">
        <v>0</v>
      </c>
      <c r="O15" s="935"/>
    </row>
    <row r="16" spans="1:16" s="60" customFormat="1" ht="12.75">
      <c r="A16" s="1461"/>
      <c r="B16" s="1464"/>
      <c r="C16" s="1464"/>
      <c r="D16" s="1467"/>
      <c r="E16" s="1467"/>
      <c r="F16" s="1470"/>
      <c r="G16" s="1464"/>
      <c r="H16" s="1464"/>
      <c r="I16" s="1458"/>
      <c r="J16" s="1458"/>
      <c r="K16" s="608" t="s">
        <v>14</v>
      </c>
      <c r="L16" s="607">
        <v>600</v>
      </c>
      <c r="M16" s="607">
        <v>0</v>
      </c>
      <c r="N16" s="610">
        <v>0</v>
      </c>
      <c r="O16" s="935"/>
      <c r="P16" s="617"/>
    </row>
    <row r="17" spans="1:16" s="60" customFormat="1" ht="12.75">
      <c r="A17" s="1461"/>
      <c r="B17" s="1464"/>
      <c r="C17" s="1464"/>
      <c r="D17" s="1467"/>
      <c r="E17" s="1467"/>
      <c r="F17" s="1470"/>
      <c r="G17" s="1464"/>
      <c r="H17" s="1464"/>
      <c r="I17" s="1458"/>
      <c r="J17" s="1458"/>
      <c r="K17" s="608" t="s">
        <v>136</v>
      </c>
      <c r="L17" s="607">
        <v>2400</v>
      </c>
      <c r="M17" s="607">
        <v>0</v>
      </c>
      <c r="N17" s="610">
        <v>0</v>
      </c>
      <c r="O17" s="935"/>
      <c r="P17" s="538"/>
    </row>
    <row r="18" spans="1:15" s="374" customFormat="1" ht="13.5" thickBot="1">
      <c r="A18" s="1462"/>
      <c r="B18" s="1465"/>
      <c r="C18" s="1465"/>
      <c r="D18" s="1468"/>
      <c r="E18" s="1468"/>
      <c r="F18" s="1471"/>
      <c r="G18" s="1465"/>
      <c r="H18" s="1465"/>
      <c r="I18" s="1459"/>
      <c r="J18" s="1459"/>
      <c r="K18" s="611" t="s">
        <v>137</v>
      </c>
      <c r="L18" s="413">
        <v>0</v>
      </c>
      <c r="M18" s="413">
        <v>0</v>
      </c>
      <c r="N18" s="414">
        <v>0</v>
      </c>
      <c r="O18" s="935"/>
    </row>
    <row r="19" spans="1:15" s="60" customFormat="1" ht="12.75" customHeight="1">
      <c r="A19" s="1460" t="s">
        <v>642</v>
      </c>
      <c r="B19" s="1463">
        <v>801</v>
      </c>
      <c r="C19" s="1463">
        <v>80110</v>
      </c>
      <c r="D19" s="1466" t="s">
        <v>319</v>
      </c>
      <c r="E19" s="1466" t="s">
        <v>220</v>
      </c>
      <c r="F19" s="1469" t="s">
        <v>320</v>
      </c>
      <c r="G19" s="1463">
        <v>2009</v>
      </c>
      <c r="H19" s="1463">
        <v>2009</v>
      </c>
      <c r="I19" s="1457">
        <v>500</v>
      </c>
      <c r="J19" s="1457">
        <v>500</v>
      </c>
      <c r="K19" s="609" t="s">
        <v>138</v>
      </c>
      <c r="L19" s="636">
        <f>SUM(L20:L22)</f>
        <v>500</v>
      </c>
      <c r="M19" s="612">
        <f>SUM(M20:M22)</f>
        <v>0</v>
      </c>
      <c r="N19" s="613">
        <v>0</v>
      </c>
      <c r="O19" s="538"/>
    </row>
    <row r="20" spans="1:16" s="60" customFormat="1" ht="12.75">
      <c r="A20" s="1461"/>
      <c r="B20" s="1464"/>
      <c r="C20" s="1464"/>
      <c r="D20" s="1467"/>
      <c r="E20" s="1467"/>
      <c r="F20" s="1470"/>
      <c r="G20" s="1464"/>
      <c r="H20" s="1464"/>
      <c r="I20" s="1458"/>
      <c r="J20" s="1458"/>
      <c r="K20" s="608" t="s">
        <v>14</v>
      </c>
      <c r="L20" s="637">
        <v>200</v>
      </c>
      <c r="M20" s="607">
        <v>0</v>
      </c>
      <c r="N20" s="610">
        <v>0</v>
      </c>
      <c r="O20" s="538"/>
      <c r="P20" s="617"/>
    </row>
    <row r="21" spans="1:16" s="60" customFormat="1" ht="12.75">
      <c r="A21" s="1461"/>
      <c r="B21" s="1464"/>
      <c r="C21" s="1464"/>
      <c r="D21" s="1467"/>
      <c r="E21" s="1467"/>
      <c r="F21" s="1470"/>
      <c r="G21" s="1464"/>
      <c r="H21" s="1464"/>
      <c r="I21" s="1458"/>
      <c r="J21" s="1458"/>
      <c r="K21" s="608" t="s">
        <v>136</v>
      </c>
      <c r="L21" s="607">
        <v>300</v>
      </c>
      <c r="M21" s="607">
        <v>0</v>
      </c>
      <c r="N21" s="610">
        <v>0</v>
      </c>
      <c r="O21" s="538"/>
      <c r="P21" s="538"/>
    </row>
    <row r="22" spans="1:15" s="374" customFormat="1" ht="13.5" thickBot="1">
      <c r="A22" s="1462"/>
      <c r="B22" s="1465"/>
      <c r="C22" s="1465"/>
      <c r="D22" s="1468"/>
      <c r="E22" s="1468"/>
      <c r="F22" s="1471"/>
      <c r="G22" s="1465"/>
      <c r="H22" s="1465"/>
      <c r="I22" s="1459"/>
      <c r="J22" s="1459"/>
      <c r="K22" s="611" t="s">
        <v>137</v>
      </c>
      <c r="L22" s="413">
        <v>0</v>
      </c>
      <c r="M22" s="413">
        <v>0</v>
      </c>
      <c r="N22" s="414">
        <v>0</v>
      </c>
      <c r="O22" s="538"/>
    </row>
    <row r="23" spans="1:15" s="60" customFormat="1" ht="12.75" customHeight="1">
      <c r="A23" s="1460" t="s">
        <v>643</v>
      </c>
      <c r="B23" s="1463">
        <v>801</v>
      </c>
      <c r="C23" s="1463">
        <v>80110</v>
      </c>
      <c r="D23" s="1466" t="s">
        <v>319</v>
      </c>
      <c r="E23" s="1466" t="s">
        <v>321</v>
      </c>
      <c r="F23" s="1469" t="s">
        <v>320</v>
      </c>
      <c r="G23" s="1463">
        <v>2009</v>
      </c>
      <c r="H23" s="1463">
        <v>2009</v>
      </c>
      <c r="I23" s="1457">
        <v>800</v>
      </c>
      <c r="J23" s="1457">
        <v>800</v>
      </c>
      <c r="K23" s="609" t="s">
        <v>138</v>
      </c>
      <c r="L23" s="636">
        <f>SUM(L24:L26)</f>
        <v>800</v>
      </c>
      <c r="M23" s="612">
        <f>SUM(M24:M26)</f>
        <v>0</v>
      </c>
      <c r="N23" s="613">
        <v>0</v>
      </c>
      <c r="O23" s="538"/>
    </row>
    <row r="24" spans="1:16" s="60" customFormat="1" ht="12.75">
      <c r="A24" s="1461"/>
      <c r="B24" s="1464"/>
      <c r="C24" s="1464"/>
      <c r="D24" s="1467"/>
      <c r="E24" s="1467"/>
      <c r="F24" s="1470"/>
      <c r="G24" s="1464"/>
      <c r="H24" s="1464"/>
      <c r="I24" s="1458"/>
      <c r="J24" s="1458"/>
      <c r="K24" s="608" t="s">
        <v>14</v>
      </c>
      <c r="L24" s="637">
        <v>300</v>
      </c>
      <c r="M24" s="607">
        <v>0</v>
      </c>
      <c r="N24" s="610">
        <v>0</v>
      </c>
      <c r="O24" s="538"/>
      <c r="P24" s="617"/>
    </row>
    <row r="25" spans="1:16" s="60" customFormat="1" ht="12.75">
      <c r="A25" s="1461"/>
      <c r="B25" s="1464"/>
      <c r="C25" s="1464"/>
      <c r="D25" s="1467"/>
      <c r="E25" s="1467"/>
      <c r="F25" s="1470"/>
      <c r="G25" s="1464"/>
      <c r="H25" s="1464"/>
      <c r="I25" s="1458"/>
      <c r="J25" s="1458"/>
      <c r="K25" s="608" t="s">
        <v>136</v>
      </c>
      <c r="L25" s="607">
        <v>500</v>
      </c>
      <c r="M25" s="607">
        <v>0</v>
      </c>
      <c r="N25" s="610">
        <v>0</v>
      </c>
      <c r="O25" s="538"/>
      <c r="P25" s="538"/>
    </row>
    <row r="26" spans="1:15" s="374" customFormat="1" ht="14.25" customHeight="1" thickBot="1">
      <c r="A26" s="1462"/>
      <c r="B26" s="1465"/>
      <c r="C26" s="1465"/>
      <c r="D26" s="1468"/>
      <c r="E26" s="1468"/>
      <c r="F26" s="1471"/>
      <c r="G26" s="1465"/>
      <c r="H26" s="1465"/>
      <c r="I26" s="1459"/>
      <c r="J26" s="1459"/>
      <c r="K26" s="611" t="s">
        <v>137</v>
      </c>
      <c r="L26" s="413">
        <v>0</v>
      </c>
      <c r="M26" s="413">
        <v>0</v>
      </c>
      <c r="N26" s="414">
        <v>0</v>
      </c>
      <c r="O26" s="538"/>
    </row>
    <row r="27" spans="1:15" s="60" customFormat="1" ht="12.75" customHeight="1">
      <c r="A27" s="1460" t="s">
        <v>644</v>
      </c>
      <c r="B27" s="1463">
        <v>853</v>
      </c>
      <c r="C27" s="1463">
        <v>85395</v>
      </c>
      <c r="D27" s="1466" t="s">
        <v>145</v>
      </c>
      <c r="E27" s="1466" t="s">
        <v>146</v>
      </c>
      <c r="F27" s="1476" t="s">
        <v>147</v>
      </c>
      <c r="G27" s="1463">
        <v>2008</v>
      </c>
      <c r="H27" s="1463">
        <v>2009</v>
      </c>
      <c r="I27" s="1457">
        <v>465066</v>
      </c>
      <c r="J27" s="1457">
        <v>465066</v>
      </c>
      <c r="K27" s="609" t="s">
        <v>138</v>
      </c>
      <c r="L27" s="612">
        <f>SUM(L28:L30)</f>
        <v>284888</v>
      </c>
      <c r="M27" s="612">
        <f>SUM(M28:M30)</f>
        <v>0</v>
      </c>
      <c r="N27" s="613">
        <v>0</v>
      </c>
      <c r="O27" s="935"/>
    </row>
    <row r="28" spans="1:16" s="60" customFormat="1" ht="12.75">
      <c r="A28" s="1461"/>
      <c r="B28" s="1464"/>
      <c r="C28" s="1464"/>
      <c r="D28" s="1467"/>
      <c r="E28" s="1467"/>
      <c r="F28" s="1470"/>
      <c r="G28" s="1464"/>
      <c r="H28" s="1464"/>
      <c r="I28" s="1458"/>
      <c r="J28" s="1458"/>
      <c r="K28" s="608" t="s">
        <v>14</v>
      </c>
      <c r="L28" s="607">
        <v>0</v>
      </c>
      <c r="M28" s="607">
        <v>0</v>
      </c>
      <c r="N28" s="610">
        <v>0</v>
      </c>
      <c r="O28" s="935"/>
      <c r="P28" s="617"/>
    </row>
    <row r="29" spans="1:16" s="60" customFormat="1" ht="12.75">
      <c r="A29" s="1461"/>
      <c r="B29" s="1464"/>
      <c r="C29" s="1464"/>
      <c r="D29" s="1467"/>
      <c r="E29" s="1467"/>
      <c r="F29" s="1470"/>
      <c r="G29" s="1464"/>
      <c r="H29" s="1464"/>
      <c r="I29" s="1458"/>
      <c r="J29" s="1458"/>
      <c r="K29" s="608" t="s">
        <v>136</v>
      </c>
      <c r="L29" s="607">
        <v>242155</v>
      </c>
      <c r="M29" s="607">
        <v>0</v>
      </c>
      <c r="N29" s="610">
        <v>0</v>
      </c>
      <c r="O29" s="935"/>
      <c r="P29" s="538"/>
    </row>
    <row r="30" spans="1:15" s="374" customFormat="1" ht="13.5" thickBot="1">
      <c r="A30" s="1462"/>
      <c r="B30" s="1465"/>
      <c r="C30" s="1465"/>
      <c r="D30" s="1468"/>
      <c r="E30" s="1468"/>
      <c r="F30" s="1471"/>
      <c r="G30" s="1465"/>
      <c r="H30" s="1465"/>
      <c r="I30" s="1459"/>
      <c r="J30" s="1459"/>
      <c r="K30" s="611" t="s">
        <v>137</v>
      </c>
      <c r="L30" s="413">
        <v>42733</v>
      </c>
      <c r="M30" s="413">
        <v>0</v>
      </c>
      <c r="N30" s="414">
        <v>0</v>
      </c>
      <c r="O30" s="935"/>
    </row>
    <row r="31" spans="1:15" s="60" customFormat="1" ht="12.75" customHeight="1">
      <c r="A31" s="1460" t="s">
        <v>645</v>
      </c>
      <c r="B31" s="1463">
        <v>853</v>
      </c>
      <c r="C31" s="1463">
        <v>85395</v>
      </c>
      <c r="D31" s="1466" t="s">
        <v>145</v>
      </c>
      <c r="E31" s="1466" t="s">
        <v>148</v>
      </c>
      <c r="F31" s="1476" t="s">
        <v>147</v>
      </c>
      <c r="G31" s="1463">
        <v>2008</v>
      </c>
      <c r="H31" s="1463">
        <v>2009</v>
      </c>
      <c r="I31" s="1457">
        <v>47889</v>
      </c>
      <c r="J31" s="1457">
        <v>47889</v>
      </c>
      <c r="K31" s="609" t="s">
        <v>138</v>
      </c>
      <c r="L31" s="636">
        <f>SUM(L32:L34)</f>
        <v>21420</v>
      </c>
      <c r="M31" s="612">
        <f>SUM(M32:M34)</f>
        <v>0</v>
      </c>
      <c r="N31" s="613">
        <v>0</v>
      </c>
      <c r="O31" s="538"/>
    </row>
    <row r="32" spans="1:16" s="60" customFormat="1" ht="12.75">
      <c r="A32" s="1461"/>
      <c r="B32" s="1464"/>
      <c r="C32" s="1464"/>
      <c r="D32" s="1467"/>
      <c r="E32" s="1467"/>
      <c r="F32" s="1470"/>
      <c r="G32" s="1464"/>
      <c r="H32" s="1464"/>
      <c r="I32" s="1458"/>
      <c r="J32" s="1458"/>
      <c r="K32" s="608" t="s">
        <v>14</v>
      </c>
      <c r="L32" s="637">
        <v>0</v>
      </c>
      <c r="M32" s="607">
        <v>0</v>
      </c>
      <c r="N32" s="610">
        <v>0</v>
      </c>
      <c r="O32" s="538"/>
      <c r="P32" s="617"/>
    </row>
    <row r="33" spans="1:16" s="60" customFormat="1" ht="12.75">
      <c r="A33" s="1461"/>
      <c r="B33" s="1464"/>
      <c r="C33" s="1464"/>
      <c r="D33" s="1467"/>
      <c r="E33" s="1467"/>
      <c r="F33" s="1470"/>
      <c r="G33" s="1464"/>
      <c r="H33" s="1464"/>
      <c r="I33" s="1458"/>
      <c r="J33" s="1458"/>
      <c r="K33" s="608" t="s">
        <v>136</v>
      </c>
      <c r="L33" s="607">
        <f>21420*85%</f>
        <v>18207</v>
      </c>
      <c r="M33" s="607">
        <v>0</v>
      </c>
      <c r="N33" s="610">
        <v>0</v>
      </c>
      <c r="O33" s="538"/>
      <c r="P33" s="538"/>
    </row>
    <row r="34" spans="1:15" s="374" customFormat="1" ht="13.5" thickBot="1">
      <c r="A34" s="1462"/>
      <c r="B34" s="1465"/>
      <c r="C34" s="1465"/>
      <c r="D34" s="1468"/>
      <c r="E34" s="1468"/>
      <c r="F34" s="1471"/>
      <c r="G34" s="1465"/>
      <c r="H34" s="1465"/>
      <c r="I34" s="1459"/>
      <c r="J34" s="1459"/>
      <c r="K34" s="611" t="s">
        <v>137</v>
      </c>
      <c r="L34" s="413">
        <v>3213</v>
      </c>
      <c r="M34" s="413">
        <v>0</v>
      </c>
      <c r="N34" s="414">
        <v>0</v>
      </c>
      <c r="O34" s="538"/>
    </row>
    <row r="35" spans="1:15" s="60" customFormat="1" ht="12.75" customHeight="1">
      <c r="A35" s="1460" t="s">
        <v>646</v>
      </c>
      <c r="B35" s="1463">
        <v>853</v>
      </c>
      <c r="C35" s="1463">
        <v>85395</v>
      </c>
      <c r="D35" s="1466" t="s">
        <v>145</v>
      </c>
      <c r="E35" s="1466" t="s">
        <v>149</v>
      </c>
      <c r="F35" s="1476" t="s">
        <v>147</v>
      </c>
      <c r="G35" s="1463">
        <v>2008</v>
      </c>
      <c r="H35" s="1463">
        <v>2009</v>
      </c>
      <c r="I35" s="1457">
        <v>48389</v>
      </c>
      <c r="J35" s="1457">
        <v>48389</v>
      </c>
      <c r="K35" s="609" t="s">
        <v>138</v>
      </c>
      <c r="L35" s="636">
        <f>SUM(L36:L38)</f>
        <v>21420</v>
      </c>
      <c r="M35" s="612">
        <f>SUM(M36:M38)</f>
        <v>0</v>
      </c>
      <c r="N35" s="613">
        <v>0</v>
      </c>
      <c r="O35" s="538"/>
    </row>
    <row r="36" spans="1:16" s="60" customFormat="1" ht="12.75">
      <c r="A36" s="1461"/>
      <c r="B36" s="1464"/>
      <c r="C36" s="1464"/>
      <c r="D36" s="1467"/>
      <c r="E36" s="1467"/>
      <c r="F36" s="1470"/>
      <c r="G36" s="1464"/>
      <c r="H36" s="1464"/>
      <c r="I36" s="1458"/>
      <c r="J36" s="1458"/>
      <c r="K36" s="608" t="s">
        <v>14</v>
      </c>
      <c r="L36" s="637">
        <v>0</v>
      </c>
      <c r="M36" s="607">
        <v>0</v>
      </c>
      <c r="N36" s="610">
        <v>0</v>
      </c>
      <c r="O36" s="538"/>
      <c r="P36" s="617"/>
    </row>
    <row r="37" spans="1:16" s="60" customFormat="1" ht="12.75">
      <c r="A37" s="1461"/>
      <c r="B37" s="1464"/>
      <c r="C37" s="1464"/>
      <c r="D37" s="1467"/>
      <c r="E37" s="1467"/>
      <c r="F37" s="1470"/>
      <c r="G37" s="1464"/>
      <c r="H37" s="1464"/>
      <c r="I37" s="1458"/>
      <c r="J37" s="1458"/>
      <c r="K37" s="608" t="s">
        <v>136</v>
      </c>
      <c r="L37" s="607">
        <f>21420*85%</f>
        <v>18207</v>
      </c>
      <c r="M37" s="607">
        <v>0</v>
      </c>
      <c r="N37" s="610">
        <v>0</v>
      </c>
      <c r="O37" s="538"/>
      <c r="P37" s="538"/>
    </row>
    <row r="38" spans="1:15" s="374" customFormat="1" ht="14.25" customHeight="1" thickBot="1">
      <c r="A38" s="1462"/>
      <c r="B38" s="1465"/>
      <c r="C38" s="1465"/>
      <c r="D38" s="1468"/>
      <c r="E38" s="1468"/>
      <c r="F38" s="1471"/>
      <c r="G38" s="1465"/>
      <c r="H38" s="1465"/>
      <c r="I38" s="1459"/>
      <c r="J38" s="1459"/>
      <c r="K38" s="611" t="s">
        <v>137</v>
      </c>
      <c r="L38" s="413">
        <f>21420-L37</f>
        <v>3213</v>
      </c>
      <c r="M38" s="413">
        <v>0</v>
      </c>
      <c r="N38" s="414">
        <v>0</v>
      </c>
      <c r="O38" s="538"/>
    </row>
    <row r="39" spans="1:15" s="60" customFormat="1" ht="12.75" customHeight="1">
      <c r="A39" s="1460" t="s">
        <v>647</v>
      </c>
      <c r="B39" s="1463">
        <v>853</v>
      </c>
      <c r="C39" s="1463">
        <v>85395</v>
      </c>
      <c r="D39" s="1466" t="s">
        <v>145</v>
      </c>
      <c r="E39" s="1466" t="s">
        <v>150</v>
      </c>
      <c r="F39" s="1476" t="s">
        <v>147</v>
      </c>
      <c r="G39" s="1463">
        <v>2008</v>
      </c>
      <c r="H39" s="1463">
        <v>2009</v>
      </c>
      <c r="I39" s="1457">
        <v>47843</v>
      </c>
      <c r="J39" s="1457">
        <v>47843</v>
      </c>
      <c r="K39" s="609" t="s">
        <v>138</v>
      </c>
      <c r="L39" s="636">
        <f>SUM(L40:L42)</f>
        <v>26054</v>
      </c>
      <c r="M39" s="612">
        <f>SUM(M40:M42)</f>
        <v>0</v>
      </c>
      <c r="N39" s="613">
        <v>0</v>
      </c>
      <c r="O39" s="538"/>
    </row>
    <row r="40" spans="1:16" s="60" customFormat="1" ht="12.75">
      <c r="A40" s="1461"/>
      <c r="B40" s="1464"/>
      <c r="C40" s="1464"/>
      <c r="D40" s="1467"/>
      <c r="E40" s="1467"/>
      <c r="F40" s="1470"/>
      <c r="G40" s="1464"/>
      <c r="H40" s="1464"/>
      <c r="I40" s="1458"/>
      <c r="J40" s="1458"/>
      <c r="K40" s="608" t="s">
        <v>14</v>
      </c>
      <c r="L40" s="637">
        <v>0</v>
      </c>
      <c r="M40" s="607">
        <v>0</v>
      </c>
      <c r="N40" s="610">
        <v>0</v>
      </c>
      <c r="O40" s="538"/>
      <c r="P40" s="617"/>
    </row>
    <row r="41" spans="1:16" s="60" customFormat="1" ht="12.75">
      <c r="A41" s="1461"/>
      <c r="B41" s="1464"/>
      <c r="C41" s="1464"/>
      <c r="D41" s="1467"/>
      <c r="E41" s="1467"/>
      <c r="F41" s="1470"/>
      <c r="G41" s="1464"/>
      <c r="H41" s="1464"/>
      <c r="I41" s="1458"/>
      <c r="J41" s="1458"/>
      <c r="K41" s="608" t="s">
        <v>136</v>
      </c>
      <c r="L41" s="607">
        <f>26054*85%</f>
        <v>22146</v>
      </c>
      <c r="M41" s="607">
        <v>0</v>
      </c>
      <c r="N41" s="610">
        <v>0</v>
      </c>
      <c r="O41" s="538"/>
      <c r="P41" s="617"/>
    </row>
    <row r="42" spans="1:16" s="374" customFormat="1" ht="14.25" customHeight="1" thickBot="1">
      <c r="A42" s="1462"/>
      <c r="B42" s="1465"/>
      <c r="C42" s="1465"/>
      <c r="D42" s="1468"/>
      <c r="E42" s="1468"/>
      <c r="F42" s="1471"/>
      <c r="G42" s="1465"/>
      <c r="H42" s="1465"/>
      <c r="I42" s="1459"/>
      <c r="J42" s="1459"/>
      <c r="K42" s="611" t="s">
        <v>137</v>
      </c>
      <c r="L42" s="413">
        <f>26054-L41</f>
        <v>3908</v>
      </c>
      <c r="M42" s="413">
        <v>0</v>
      </c>
      <c r="N42" s="414">
        <v>0</v>
      </c>
      <c r="O42" s="538"/>
      <c r="P42" s="617"/>
    </row>
    <row r="43" spans="1:15" s="60" customFormat="1" ht="12.75" customHeight="1">
      <c r="A43" s="1460" t="s">
        <v>648</v>
      </c>
      <c r="B43" s="1463">
        <v>853</v>
      </c>
      <c r="C43" s="1463">
        <v>85395</v>
      </c>
      <c r="D43" s="1466" t="s">
        <v>145</v>
      </c>
      <c r="E43" s="1466" t="s">
        <v>151</v>
      </c>
      <c r="F43" s="1476" t="s">
        <v>147</v>
      </c>
      <c r="G43" s="1463">
        <v>2008</v>
      </c>
      <c r="H43" s="1463">
        <v>2009</v>
      </c>
      <c r="I43" s="1457">
        <v>49549</v>
      </c>
      <c r="J43" s="1457">
        <v>49549</v>
      </c>
      <c r="K43" s="609" t="s">
        <v>138</v>
      </c>
      <c r="L43" s="636">
        <f>SUM(L44:L46)</f>
        <v>22100</v>
      </c>
      <c r="M43" s="612">
        <f>SUM(M44:M46)</f>
        <v>0</v>
      </c>
      <c r="N43" s="613">
        <v>0</v>
      </c>
      <c r="O43" s="538"/>
    </row>
    <row r="44" spans="1:16" s="60" customFormat="1" ht="12.75">
      <c r="A44" s="1461"/>
      <c r="B44" s="1464"/>
      <c r="C44" s="1464"/>
      <c r="D44" s="1467"/>
      <c r="E44" s="1467"/>
      <c r="F44" s="1470"/>
      <c r="G44" s="1464"/>
      <c r="H44" s="1464"/>
      <c r="I44" s="1458"/>
      <c r="J44" s="1458"/>
      <c r="K44" s="608" t="s">
        <v>14</v>
      </c>
      <c r="L44" s="637">
        <v>0</v>
      </c>
      <c r="M44" s="607">
        <v>0</v>
      </c>
      <c r="N44" s="610">
        <v>0</v>
      </c>
      <c r="O44" s="538"/>
      <c r="P44" s="617"/>
    </row>
    <row r="45" spans="1:16" s="60" customFormat="1" ht="12.75">
      <c r="A45" s="1461"/>
      <c r="B45" s="1464"/>
      <c r="C45" s="1464"/>
      <c r="D45" s="1467"/>
      <c r="E45" s="1467"/>
      <c r="F45" s="1470"/>
      <c r="G45" s="1464"/>
      <c r="H45" s="1464"/>
      <c r="I45" s="1458"/>
      <c r="J45" s="1458"/>
      <c r="K45" s="608" t="s">
        <v>136</v>
      </c>
      <c r="L45" s="607">
        <f>22100*85%</f>
        <v>18785</v>
      </c>
      <c r="M45" s="607"/>
      <c r="N45" s="610">
        <v>0</v>
      </c>
      <c r="O45" s="538"/>
      <c r="P45" s="617"/>
    </row>
    <row r="46" spans="1:16" s="374" customFormat="1" ht="14.25" customHeight="1" thickBot="1">
      <c r="A46" s="1462"/>
      <c r="B46" s="1465"/>
      <c r="C46" s="1465"/>
      <c r="D46" s="1468"/>
      <c r="E46" s="1468"/>
      <c r="F46" s="1471"/>
      <c r="G46" s="1465"/>
      <c r="H46" s="1465"/>
      <c r="I46" s="1459"/>
      <c r="J46" s="1459"/>
      <c r="K46" s="611" t="s">
        <v>137</v>
      </c>
      <c r="L46" s="413">
        <f>22100-L45</f>
        <v>3315</v>
      </c>
      <c r="M46" s="413"/>
      <c r="N46" s="414">
        <v>0</v>
      </c>
      <c r="O46" s="538"/>
      <c r="P46" s="617"/>
    </row>
    <row r="47" spans="1:15" s="60" customFormat="1" ht="12.75" customHeight="1">
      <c r="A47" s="1460" t="s">
        <v>649</v>
      </c>
      <c r="B47" s="1463">
        <v>853</v>
      </c>
      <c r="C47" s="1463">
        <v>85395</v>
      </c>
      <c r="D47" s="1466" t="s">
        <v>145</v>
      </c>
      <c r="E47" s="1466" t="s">
        <v>152</v>
      </c>
      <c r="F47" s="1476" t="s">
        <v>147</v>
      </c>
      <c r="G47" s="1463">
        <v>2008</v>
      </c>
      <c r="H47" s="1463">
        <v>2009</v>
      </c>
      <c r="I47" s="1457">
        <v>48389</v>
      </c>
      <c r="J47" s="1457">
        <v>48389</v>
      </c>
      <c r="K47" s="609" t="s">
        <v>138</v>
      </c>
      <c r="L47" s="636">
        <f>SUM(L48:L50)</f>
        <v>21420</v>
      </c>
      <c r="M47" s="612">
        <f>SUM(M48:M50)</f>
        <v>0</v>
      </c>
      <c r="N47" s="613">
        <v>0</v>
      </c>
      <c r="O47" s="538"/>
    </row>
    <row r="48" spans="1:16" s="60" customFormat="1" ht="12.75">
      <c r="A48" s="1461"/>
      <c r="B48" s="1464"/>
      <c r="C48" s="1464"/>
      <c r="D48" s="1467"/>
      <c r="E48" s="1467"/>
      <c r="F48" s="1470"/>
      <c r="G48" s="1464"/>
      <c r="H48" s="1464"/>
      <c r="I48" s="1458"/>
      <c r="J48" s="1458"/>
      <c r="K48" s="608" t="s">
        <v>14</v>
      </c>
      <c r="L48" s="637">
        <v>0</v>
      </c>
      <c r="M48" s="607">
        <v>0</v>
      </c>
      <c r="N48" s="610">
        <v>0</v>
      </c>
      <c r="O48" s="538"/>
      <c r="P48" s="617"/>
    </row>
    <row r="49" spans="1:16" s="60" customFormat="1" ht="12.75">
      <c r="A49" s="1461"/>
      <c r="B49" s="1464"/>
      <c r="C49" s="1464"/>
      <c r="D49" s="1467"/>
      <c r="E49" s="1467"/>
      <c r="F49" s="1470"/>
      <c r="G49" s="1464"/>
      <c r="H49" s="1464"/>
      <c r="I49" s="1458"/>
      <c r="J49" s="1458"/>
      <c r="K49" s="608" t="s">
        <v>136</v>
      </c>
      <c r="L49" s="607">
        <f>21420*85%</f>
        <v>18207</v>
      </c>
      <c r="M49" s="607"/>
      <c r="N49" s="610">
        <v>0</v>
      </c>
      <c r="O49" s="538"/>
      <c r="P49" s="617"/>
    </row>
    <row r="50" spans="1:16" s="374" customFormat="1" ht="14.25" customHeight="1" thickBot="1">
      <c r="A50" s="1462"/>
      <c r="B50" s="1465"/>
      <c r="C50" s="1465"/>
      <c r="D50" s="1468"/>
      <c r="E50" s="1468"/>
      <c r="F50" s="1471"/>
      <c r="G50" s="1465"/>
      <c r="H50" s="1465"/>
      <c r="I50" s="1459"/>
      <c r="J50" s="1459"/>
      <c r="K50" s="611" t="s">
        <v>137</v>
      </c>
      <c r="L50" s="413">
        <f>21420-L49</f>
        <v>3213</v>
      </c>
      <c r="M50" s="413"/>
      <c r="N50" s="414">
        <v>0</v>
      </c>
      <c r="O50" s="538"/>
      <c r="P50" s="617"/>
    </row>
    <row r="51" spans="1:15" s="60" customFormat="1" ht="12.75" customHeight="1">
      <c r="A51" s="1460" t="s">
        <v>650</v>
      </c>
      <c r="B51" s="1463">
        <v>853</v>
      </c>
      <c r="C51" s="1463">
        <v>85395</v>
      </c>
      <c r="D51" s="1466" t="s">
        <v>145</v>
      </c>
      <c r="E51" s="1466" t="s">
        <v>153</v>
      </c>
      <c r="F51" s="1476" t="s">
        <v>147</v>
      </c>
      <c r="G51" s="1463">
        <v>2008</v>
      </c>
      <c r="H51" s="1463">
        <v>2009</v>
      </c>
      <c r="I51" s="1457">
        <v>49549</v>
      </c>
      <c r="J51" s="1457">
        <f>I51</f>
        <v>49549</v>
      </c>
      <c r="K51" s="609" t="s">
        <v>138</v>
      </c>
      <c r="L51" s="636">
        <f>SUM(L52:L54)</f>
        <v>22100</v>
      </c>
      <c r="M51" s="612">
        <f>SUM(M52:M54)</f>
        <v>0</v>
      </c>
      <c r="N51" s="613">
        <v>0</v>
      </c>
      <c r="O51" s="538"/>
    </row>
    <row r="52" spans="1:16" s="60" customFormat="1" ht="12.75">
      <c r="A52" s="1461"/>
      <c r="B52" s="1464"/>
      <c r="C52" s="1464"/>
      <c r="D52" s="1467"/>
      <c r="E52" s="1467"/>
      <c r="F52" s="1470"/>
      <c r="G52" s="1464"/>
      <c r="H52" s="1464"/>
      <c r="I52" s="1458"/>
      <c r="J52" s="1458"/>
      <c r="K52" s="608" t="s">
        <v>14</v>
      </c>
      <c r="L52" s="637">
        <v>0</v>
      </c>
      <c r="M52" s="607">
        <v>0</v>
      </c>
      <c r="N52" s="610">
        <v>0</v>
      </c>
      <c r="O52" s="538"/>
      <c r="P52" s="617"/>
    </row>
    <row r="53" spans="1:16" s="60" customFormat="1" ht="12.75">
      <c r="A53" s="1461"/>
      <c r="B53" s="1464"/>
      <c r="C53" s="1464"/>
      <c r="D53" s="1467"/>
      <c r="E53" s="1467"/>
      <c r="F53" s="1470"/>
      <c r="G53" s="1464"/>
      <c r="H53" s="1464"/>
      <c r="I53" s="1458"/>
      <c r="J53" s="1458"/>
      <c r="K53" s="608" t="s">
        <v>136</v>
      </c>
      <c r="L53" s="607">
        <f>22100*85%</f>
        <v>18785</v>
      </c>
      <c r="M53" s="607">
        <v>0</v>
      </c>
      <c r="N53" s="610">
        <v>0</v>
      </c>
      <c r="O53" s="538"/>
      <c r="P53" s="538"/>
    </row>
    <row r="54" spans="1:15" s="374" customFormat="1" ht="13.5" thickBot="1">
      <c r="A54" s="1462"/>
      <c r="B54" s="1465"/>
      <c r="C54" s="1465"/>
      <c r="D54" s="1468"/>
      <c r="E54" s="1468"/>
      <c r="F54" s="1471"/>
      <c r="G54" s="1465"/>
      <c r="H54" s="1465"/>
      <c r="I54" s="1459"/>
      <c r="J54" s="1459"/>
      <c r="K54" s="611" t="s">
        <v>137</v>
      </c>
      <c r="L54" s="413">
        <f>22100-L53</f>
        <v>3315</v>
      </c>
      <c r="M54" s="413">
        <v>0</v>
      </c>
      <c r="N54" s="414">
        <v>0</v>
      </c>
      <c r="O54" s="538"/>
    </row>
    <row r="55" spans="1:14" s="363" customFormat="1" ht="15" customHeight="1" thickBot="1">
      <c r="A55" s="827">
        <v>1</v>
      </c>
      <c r="B55" s="828">
        <v>2</v>
      </c>
      <c r="C55" s="828">
        <v>3</v>
      </c>
      <c r="D55" s="829">
        <v>4</v>
      </c>
      <c r="E55" s="829">
        <v>5</v>
      </c>
      <c r="F55" s="829">
        <v>6</v>
      </c>
      <c r="G55" s="829">
        <v>7</v>
      </c>
      <c r="H55" s="829">
        <v>8</v>
      </c>
      <c r="I55" s="829">
        <v>9</v>
      </c>
      <c r="J55" s="829">
        <v>10</v>
      </c>
      <c r="K55" s="829">
        <v>11</v>
      </c>
      <c r="L55" s="830">
        <v>12</v>
      </c>
      <c r="M55" s="829">
        <v>13</v>
      </c>
      <c r="N55" s="831">
        <v>14</v>
      </c>
    </row>
    <row r="56" spans="1:15" s="60" customFormat="1" ht="12.75" customHeight="1">
      <c r="A56" s="1460" t="s">
        <v>651</v>
      </c>
      <c r="B56" s="1463">
        <v>853</v>
      </c>
      <c r="C56" s="1463">
        <v>85395</v>
      </c>
      <c r="D56" s="1466" t="s">
        <v>145</v>
      </c>
      <c r="E56" s="1466" t="s">
        <v>156</v>
      </c>
      <c r="F56" s="1476" t="s">
        <v>147</v>
      </c>
      <c r="G56" s="1463">
        <v>2008</v>
      </c>
      <c r="H56" s="1463">
        <v>2009</v>
      </c>
      <c r="I56" s="1457">
        <v>47843</v>
      </c>
      <c r="J56" s="1457">
        <v>47843</v>
      </c>
      <c r="K56" s="609" t="s">
        <v>138</v>
      </c>
      <c r="L56" s="636">
        <f>SUM(L57:L59)</f>
        <v>26054</v>
      </c>
      <c r="M56" s="612">
        <f>SUM(M57:M59)</f>
        <v>0</v>
      </c>
      <c r="N56" s="613">
        <v>0</v>
      </c>
      <c r="O56" s="538"/>
    </row>
    <row r="57" spans="1:15" s="60" customFormat="1" ht="12.75">
      <c r="A57" s="1461"/>
      <c r="B57" s="1464"/>
      <c r="C57" s="1464"/>
      <c r="D57" s="1467"/>
      <c r="E57" s="1467"/>
      <c r="F57" s="1470"/>
      <c r="G57" s="1464"/>
      <c r="H57" s="1464"/>
      <c r="I57" s="1458"/>
      <c r="J57" s="1458"/>
      <c r="K57" s="608" t="s">
        <v>14</v>
      </c>
      <c r="L57" s="637">
        <v>0</v>
      </c>
      <c r="M57" s="607">
        <v>0</v>
      </c>
      <c r="N57" s="610">
        <v>0</v>
      </c>
      <c r="O57" s="538"/>
    </row>
    <row r="58" spans="1:16" s="60" customFormat="1" ht="12.75">
      <c r="A58" s="1461"/>
      <c r="B58" s="1464"/>
      <c r="C58" s="1464"/>
      <c r="D58" s="1467"/>
      <c r="E58" s="1467"/>
      <c r="F58" s="1470"/>
      <c r="G58" s="1464"/>
      <c r="H58" s="1464"/>
      <c r="I58" s="1458"/>
      <c r="J58" s="1458"/>
      <c r="K58" s="608" t="s">
        <v>136</v>
      </c>
      <c r="L58" s="607">
        <f>26054*85%</f>
        <v>22146</v>
      </c>
      <c r="M58" s="607">
        <v>0</v>
      </c>
      <c r="N58" s="610">
        <v>0</v>
      </c>
      <c r="O58" s="538"/>
      <c r="P58" s="538"/>
    </row>
    <row r="59" spans="1:15" s="374" customFormat="1" ht="13.5" thickBot="1">
      <c r="A59" s="1462"/>
      <c r="B59" s="1465"/>
      <c r="C59" s="1465"/>
      <c r="D59" s="1468"/>
      <c r="E59" s="1468"/>
      <c r="F59" s="1471"/>
      <c r="G59" s="1465"/>
      <c r="H59" s="1465"/>
      <c r="I59" s="1459"/>
      <c r="J59" s="1459"/>
      <c r="K59" s="611" t="s">
        <v>137</v>
      </c>
      <c r="L59" s="413">
        <f>26054-L58</f>
        <v>3908</v>
      </c>
      <c r="M59" s="413">
        <v>0</v>
      </c>
      <c r="N59" s="414">
        <v>0</v>
      </c>
      <c r="O59" s="538"/>
    </row>
    <row r="60" spans="1:15" s="60" customFormat="1" ht="12.75" customHeight="1">
      <c r="A60" s="1460" t="s">
        <v>652</v>
      </c>
      <c r="B60" s="1463">
        <v>853</v>
      </c>
      <c r="C60" s="1463">
        <v>85395</v>
      </c>
      <c r="D60" s="1466" t="s">
        <v>145</v>
      </c>
      <c r="E60" s="1466" t="s">
        <v>157</v>
      </c>
      <c r="F60" s="1469" t="s">
        <v>147</v>
      </c>
      <c r="G60" s="1463">
        <v>2008</v>
      </c>
      <c r="H60" s="1463">
        <v>2009</v>
      </c>
      <c r="I60" s="1457">
        <v>47889</v>
      </c>
      <c r="J60" s="1457">
        <f>I60</f>
        <v>47889</v>
      </c>
      <c r="K60" s="609" t="s">
        <v>138</v>
      </c>
      <c r="L60" s="636">
        <f>SUM(L61:L63)</f>
        <v>21420</v>
      </c>
      <c r="M60" s="612">
        <f>SUM(M61:M63)</f>
        <v>0</v>
      </c>
      <c r="N60" s="613">
        <v>0</v>
      </c>
      <c r="O60" s="538"/>
    </row>
    <row r="61" spans="1:15" s="60" customFormat="1" ht="12.75">
      <c r="A61" s="1461"/>
      <c r="B61" s="1464"/>
      <c r="C61" s="1464"/>
      <c r="D61" s="1467"/>
      <c r="E61" s="1467"/>
      <c r="F61" s="1470"/>
      <c r="G61" s="1464"/>
      <c r="H61" s="1464"/>
      <c r="I61" s="1458"/>
      <c r="J61" s="1458"/>
      <c r="K61" s="608" t="s">
        <v>14</v>
      </c>
      <c r="L61" s="637">
        <v>0</v>
      </c>
      <c r="M61" s="607">
        <v>0</v>
      </c>
      <c r="N61" s="610">
        <v>0</v>
      </c>
      <c r="O61" s="538"/>
    </row>
    <row r="62" spans="1:16" s="60" customFormat="1" ht="12.75">
      <c r="A62" s="1461"/>
      <c r="B62" s="1464"/>
      <c r="C62" s="1464"/>
      <c r="D62" s="1467"/>
      <c r="E62" s="1467"/>
      <c r="F62" s="1470"/>
      <c r="G62" s="1464"/>
      <c r="H62" s="1464"/>
      <c r="I62" s="1458"/>
      <c r="J62" s="1458"/>
      <c r="K62" s="608" t="s">
        <v>136</v>
      </c>
      <c r="L62" s="607">
        <f>21420*85%</f>
        <v>18207</v>
      </c>
      <c r="M62" s="607">
        <v>0</v>
      </c>
      <c r="N62" s="610">
        <v>0</v>
      </c>
      <c r="O62" s="538"/>
      <c r="P62" s="538"/>
    </row>
    <row r="63" spans="1:16" s="374" customFormat="1" ht="13.5" thickBot="1">
      <c r="A63" s="1462"/>
      <c r="B63" s="1465"/>
      <c r="C63" s="1465"/>
      <c r="D63" s="1468"/>
      <c r="E63" s="1468"/>
      <c r="F63" s="1471"/>
      <c r="G63" s="1465"/>
      <c r="H63" s="1465"/>
      <c r="I63" s="1459"/>
      <c r="J63" s="1459"/>
      <c r="K63" s="611" t="s">
        <v>137</v>
      </c>
      <c r="L63" s="413">
        <f>21420-L62</f>
        <v>3213</v>
      </c>
      <c r="M63" s="413">
        <v>0</v>
      </c>
      <c r="N63" s="414">
        <v>0</v>
      </c>
      <c r="O63" s="538"/>
      <c r="P63" s="377"/>
    </row>
    <row r="64" spans="1:15" s="60" customFormat="1" ht="12.75">
      <c r="A64" s="1460" t="s">
        <v>43</v>
      </c>
      <c r="B64" s="1463">
        <v>853</v>
      </c>
      <c r="C64" s="1463">
        <v>85395</v>
      </c>
      <c r="D64" s="1466" t="s">
        <v>145</v>
      </c>
      <c r="E64" s="1466" t="s">
        <v>158</v>
      </c>
      <c r="F64" s="1469" t="s">
        <v>147</v>
      </c>
      <c r="G64" s="1463">
        <v>2008</v>
      </c>
      <c r="H64" s="1463">
        <v>2009</v>
      </c>
      <c r="I64" s="1457">
        <v>47889</v>
      </c>
      <c r="J64" s="1457">
        <v>47889</v>
      </c>
      <c r="K64" s="609" t="s">
        <v>138</v>
      </c>
      <c r="L64" s="612">
        <f>SUM(L65:L67)</f>
        <v>21420</v>
      </c>
      <c r="M64" s="612">
        <f>SUM(M65:M67)</f>
        <v>0</v>
      </c>
      <c r="N64" s="613">
        <v>0</v>
      </c>
      <c r="O64" s="538"/>
    </row>
    <row r="65" spans="1:16" s="60" customFormat="1" ht="12.75">
      <c r="A65" s="1461"/>
      <c r="B65" s="1464"/>
      <c r="C65" s="1464"/>
      <c r="D65" s="1467"/>
      <c r="E65" s="1467"/>
      <c r="F65" s="1477"/>
      <c r="G65" s="1464"/>
      <c r="H65" s="1464"/>
      <c r="I65" s="1458"/>
      <c r="J65" s="1458"/>
      <c r="K65" s="608" t="s">
        <v>14</v>
      </c>
      <c r="L65" s="607">
        <v>0</v>
      </c>
      <c r="M65" s="607">
        <v>0</v>
      </c>
      <c r="N65" s="610">
        <v>0</v>
      </c>
      <c r="O65" s="538"/>
      <c r="P65" s="617"/>
    </row>
    <row r="66" spans="1:16" s="60" customFormat="1" ht="12.75">
      <c r="A66" s="1461"/>
      <c r="B66" s="1464"/>
      <c r="C66" s="1464"/>
      <c r="D66" s="1467"/>
      <c r="E66" s="1467"/>
      <c r="F66" s="1477"/>
      <c r="G66" s="1464"/>
      <c r="H66" s="1464"/>
      <c r="I66" s="1458"/>
      <c r="J66" s="1458"/>
      <c r="K66" s="608" t="s">
        <v>136</v>
      </c>
      <c r="L66" s="607">
        <f>21420*85%</f>
        <v>18207</v>
      </c>
      <c r="M66" s="607">
        <v>0</v>
      </c>
      <c r="N66" s="610">
        <v>0</v>
      </c>
      <c r="O66" s="538"/>
      <c r="P66" s="538"/>
    </row>
    <row r="67" spans="1:15" s="374" customFormat="1" ht="13.5" thickBot="1">
      <c r="A67" s="1462"/>
      <c r="B67" s="1465"/>
      <c r="C67" s="1465"/>
      <c r="D67" s="1468"/>
      <c r="E67" s="1468"/>
      <c r="F67" s="1478"/>
      <c r="G67" s="1465"/>
      <c r="H67" s="1465"/>
      <c r="I67" s="1459"/>
      <c r="J67" s="1459"/>
      <c r="K67" s="611" t="s">
        <v>137</v>
      </c>
      <c r="L67" s="413">
        <f>21420-L66</f>
        <v>3213</v>
      </c>
      <c r="M67" s="413">
        <v>0</v>
      </c>
      <c r="N67" s="414">
        <v>0</v>
      </c>
      <c r="O67" s="538"/>
    </row>
    <row r="68" spans="1:15" s="60" customFormat="1" ht="12.75">
      <c r="A68" s="1460" t="s">
        <v>44</v>
      </c>
      <c r="B68" s="1463">
        <v>853</v>
      </c>
      <c r="C68" s="1463">
        <v>85395</v>
      </c>
      <c r="D68" s="1466" t="s">
        <v>145</v>
      </c>
      <c r="E68" s="1466" t="s">
        <v>159</v>
      </c>
      <c r="F68" s="1476" t="s">
        <v>147</v>
      </c>
      <c r="G68" s="1463">
        <v>2008</v>
      </c>
      <c r="H68" s="1463">
        <v>2009</v>
      </c>
      <c r="I68" s="1457">
        <v>45630</v>
      </c>
      <c r="J68" s="1457">
        <v>45630</v>
      </c>
      <c r="K68" s="609" t="s">
        <v>138</v>
      </c>
      <c r="L68" s="636">
        <f>SUM(L69:L71)</f>
        <v>25488</v>
      </c>
      <c r="M68" s="612">
        <f>SUM(M69:M71)</f>
        <v>0</v>
      </c>
      <c r="N68" s="613">
        <v>0</v>
      </c>
      <c r="O68" s="538"/>
    </row>
    <row r="69" spans="1:15" s="60" customFormat="1" ht="12.75">
      <c r="A69" s="1461"/>
      <c r="B69" s="1464"/>
      <c r="C69" s="1464"/>
      <c r="D69" s="1467"/>
      <c r="E69" s="1467"/>
      <c r="F69" s="1470"/>
      <c r="G69" s="1464"/>
      <c r="H69" s="1464"/>
      <c r="I69" s="1458"/>
      <c r="J69" s="1458"/>
      <c r="K69" s="608" t="s">
        <v>14</v>
      </c>
      <c r="L69" s="637">
        <v>0</v>
      </c>
      <c r="M69" s="607">
        <v>0</v>
      </c>
      <c r="N69" s="610">
        <v>0</v>
      </c>
      <c r="O69" s="538"/>
    </row>
    <row r="70" spans="1:16" s="60" customFormat="1" ht="12.75">
      <c r="A70" s="1461"/>
      <c r="B70" s="1464"/>
      <c r="C70" s="1464"/>
      <c r="D70" s="1467"/>
      <c r="E70" s="1467"/>
      <c r="F70" s="1470"/>
      <c r="G70" s="1464"/>
      <c r="H70" s="1464"/>
      <c r="I70" s="1458"/>
      <c r="J70" s="1458"/>
      <c r="K70" s="608" t="s">
        <v>136</v>
      </c>
      <c r="L70" s="607">
        <f>25488*85%</f>
        <v>21665</v>
      </c>
      <c r="M70" s="607">
        <v>0</v>
      </c>
      <c r="N70" s="610">
        <v>0</v>
      </c>
      <c r="O70" s="538"/>
      <c r="P70" s="538"/>
    </row>
    <row r="71" spans="1:15" s="374" customFormat="1" ht="13.5" thickBot="1">
      <c r="A71" s="1462"/>
      <c r="B71" s="1465"/>
      <c r="C71" s="1465"/>
      <c r="D71" s="1468"/>
      <c r="E71" s="1468"/>
      <c r="F71" s="1471"/>
      <c r="G71" s="1465"/>
      <c r="H71" s="1465"/>
      <c r="I71" s="1459"/>
      <c r="J71" s="1459"/>
      <c r="K71" s="611" t="s">
        <v>137</v>
      </c>
      <c r="L71" s="413">
        <f>25488-L70</f>
        <v>3823</v>
      </c>
      <c r="M71" s="413">
        <v>0</v>
      </c>
      <c r="N71" s="414">
        <v>0</v>
      </c>
      <c r="O71" s="538"/>
    </row>
    <row r="72" spans="1:15" s="60" customFormat="1" ht="12.75" customHeight="1">
      <c r="A72" s="1460" t="s">
        <v>45</v>
      </c>
      <c r="B72" s="1463">
        <v>853</v>
      </c>
      <c r="C72" s="1463">
        <v>85395</v>
      </c>
      <c r="D72" s="1466" t="s">
        <v>145</v>
      </c>
      <c r="E72" s="1466" t="s">
        <v>160</v>
      </c>
      <c r="F72" s="1476" t="s">
        <v>147</v>
      </c>
      <c r="G72" s="1463">
        <v>2008</v>
      </c>
      <c r="H72" s="1463">
        <v>2009</v>
      </c>
      <c r="I72" s="1457">
        <v>48689</v>
      </c>
      <c r="J72" s="1457">
        <v>48689</v>
      </c>
      <c r="K72" s="609" t="s">
        <v>138</v>
      </c>
      <c r="L72" s="636">
        <f>SUM(L73:L75)</f>
        <v>21520</v>
      </c>
      <c r="M72" s="612">
        <f>SUM(M73:M75)</f>
        <v>0</v>
      </c>
      <c r="N72" s="613">
        <v>0</v>
      </c>
      <c r="O72" s="538"/>
    </row>
    <row r="73" spans="1:16" s="60" customFormat="1" ht="12.75">
      <c r="A73" s="1461"/>
      <c r="B73" s="1464"/>
      <c r="C73" s="1464"/>
      <c r="D73" s="1467"/>
      <c r="E73" s="1467"/>
      <c r="F73" s="1470"/>
      <c r="G73" s="1464"/>
      <c r="H73" s="1464"/>
      <c r="I73" s="1458"/>
      <c r="J73" s="1458"/>
      <c r="K73" s="608" t="s">
        <v>14</v>
      </c>
      <c r="L73" s="637">
        <v>0</v>
      </c>
      <c r="M73" s="607">
        <v>0</v>
      </c>
      <c r="N73" s="610">
        <v>0</v>
      </c>
      <c r="O73" s="538"/>
      <c r="P73" s="617"/>
    </row>
    <row r="74" spans="1:16" s="60" customFormat="1" ht="12.75">
      <c r="A74" s="1461"/>
      <c r="B74" s="1464"/>
      <c r="C74" s="1464"/>
      <c r="D74" s="1467"/>
      <c r="E74" s="1467"/>
      <c r="F74" s="1470"/>
      <c r="G74" s="1464"/>
      <c r="H74" s="1464"/>
      <c r="I74" s="1458"/>
      <c r="J74" s="1458"/>
      <c r="K74" s="608" t="s">
        <v>136</v>
      </c>
      <c r="L74" s="607">
        <f>21520*85%</f>
        <v>18292</v>
      </c>
      <c r="M74" s="607">
        <v>0</v>
      </c>
      <c r="N74" s="610">
        <v>0</v>
      </c>
      <c r="O74" s="538"/>
      <c r="P74" s="538"/>
    </row>
    <row r="75" spans="1:15" s="374" customFormat="1" ht="13.5" thickBot="1">
      <c r="A75" s="1462"/>
      <c r="B75" s="1465"/>
      <c r="C75" s="1465"/>
      <c r="D75" s="1468"/>
      <c r="E75" s="1468"/>
      <c r="F75" s="1471"/>
      <c r="G75" s="1465"/>
      <c r="H75" s="1465"/>
      <c r="I75" s="1459"/>
      <c r="J75" s="1459"/>
      <c r="K75" s="611" t="s">
        <v>137</v>
      </c>
      <c r="L75" s="413">
        <f>21520-L74</f>
        <v>3228</v>
      </c>
      <c r="M75" s="413">
        <v>0</v>
      </c>
      <c r="N75" s="414">
        <v>0</v>
      </c>
      <c r="O75" s="538"/>
    </row>
    <row r="76" spans="1:15" s="60" customFormat="1" ht="12.75" customHeight="1">
      <c r="A76" s="1460" t="s">
        <v>46</v>
      </c>
      <c r="B76" s="1463">
        <v>853</v>
      </c>
      <c r="C76" s="1463">
        <v>85395</v>
      </c>
      <c r="D76" s="1466" t="s">
        <v>145</v>
      </c>
      <c r="E76" s="1466" t="s">
        <v>161</v>
      </c>
      <c r="F76" s="1476" t="s">
        <v>147</v>
      </c>
      <c r="G76" s="1463">
        <v>2008</v>
      </c>
      <c r="H76" s="1463">
        <v>2009</v>
      </c>
      <c r="I76" s="1457">
        <v>47889</v>
      </c>
      <c r="J76" s="1457">
        <v>47889</v>
      </c>
      <c r="K76" s="609" t="s">
        <v>138</v>
      </c>
      <c r="L76" s="636">
        <f>SUM(L77:L79)</f>
        <v>21420</v>
      </c>
      <c r="M76" s="612">
        <f>SUM(M77:M79)</f>
        <v>0</v>
      </c>
      <c r="N76" s="613">
        <f>SUM(N77:N79)</f>
        <v>0</v>
      </c>
      <c r="O76" s="538"/>
    </row>
    <row r="77" spans="1:15" s="60" customFormat="1" ht="12.75" customHeight="1">
      <c r="A77" s="1461"/>
      <c r="B77" s="1464"/>
      <c r="C77" s="1464"/>
      <c r="D77" s="1467"/>
      <c r="E77" s="1467"/>
      <c r="F77" s="1470"/>
      <c r="G77" s="1464"/>
      <c r="H77" s="1464"/>
      <c r="I77" s="1458"/>
      <c r="J77" s="1458"/>
      <c r="K77" s="608" t="s">
        <v>14</v>
      </c>
      <c r="L77" s="637">
        <v>0</v>
      </c>
      <c r="M77" s="607">
        <v>0</v>
      </c>
      <c r="N77" s="610"/>
      <c r="O77" s="538"/>
    </row>
    <row r="78" spans="1:15" s="60" customFormat="1" ht="12.75" customHeight="1">
      <c r="A78" s="1461"/>
      <c r="B78" s="1464"/>
      <c r="C78" s="1464"/>
      <c r="D78" s="1467"/>
      <c r="E78" s="1467"/>
      <c r="F78" s="1470"/>
      <c r="G78" s="1464"/>
      <c r="H78" s="1464"/>
      <c r="I78" s="1458"/>
      <c r="J78" s="1458"/>
      <c r="K78" s="608" t="s">
        <v>136</v>
      </c>
      <c r="L78" s="607">
        <f>21420*85%</f>
        <v>18207</v>
      </c>
      <c r="M78" s="607">
        <v>0</v>
      </c>
      <c r="N78" s="610"/>
      <c r="O78" s="538"/>
    </row>
    <row r="79" spans="1:15" s="374" customFormat="1" ht="13.5" customHeight="1" thickBot="1">
      <c r="A79" s="1462"/>
      <c r="B79" s="1465"/>
      <c r="C79" s="1465"/>
      <c r="D79" s="1468"/>
      <c r="E79" s="1468"/>
      <c r="F79" s="1471"/>
      <c r="G79" s="1465"/>
      <c r="H79" s="1465"/>
      <c r="I79" s="1459"/>
      <c r="J79" s="1459"/>
      <c r="K79" s="611" t="s">
        <v>137</v>
      </c>
      <c r="L79" s="413">
        <f>21420-L78</f>
        <v>3213</v>
      </c>
      <c r="M79" s="413">
        <v>0</v>
      </c>
      <c r="N79" s="414"/>
      <c r="O79" s="538"/>
    </row>
    <row r="80" spans="1:14" ht="12.75">
      <c r="A80" s="1460" t="s">
        <v>47</v>
      </c>
      <c r="B80" s="1463">
        <v>853</v>
      </c>
      <c r="C80" s="1463">
        <v>85395</v>
      </c>
      <c r="D80" s="1466" t="s">
        <v>145</v>
      </c>
      <c r="E80" s="1466" t="s">
        <v>431</v>
      </c>
      <c r="F80" s="1476" t="s">
        <v>147</v>
      </c>
      <c r="G80" s="1463">
        <v>2008</v>
      </c>
      <c r="H80" s="1463">
        <v>2009</v>
      </c>
      <c r="I80" s="1457">
        <v>45169</v>
      </c>
      <c r="J80" s="1457">
        <v>45169</v>
      </c>
      <c r="K80" s="609" t="s">
        <v>138</v>
      </c>
      <c r="L80" s="636">
        <f>SUM(L81:L83)</f>
        <v>25400</v>
      </c>
      <c r="M80" s="612">
        <f>SUM(M81:M83)</f>
        <v>0</v>
      </c>
      <c r="N80" s="613">
        <f>SUM(N81:N83)</f>
        <v>0</v>
      </c>
    </row>
    <row r="81" spans="1:14" ht="12.75">
      <c r="A81" s="1461"/>
      <c r="B81" s="1464"/>
      <c r="C81" s="1464"/>
      <c r="D81" s="1467"/>
      <c r="E81" s="1467"/>
      <c r="F81" s="1470"/>
      <c r="G81" s="1464"/>
      <c r="H81" s="1464"/>
      <c r="I81" s="1458"/>
      <c r="J81" s="1458"/>
      <c r="K81" s="608" t="s">
        <v>14</v>
      </c>
      <c r="L81" s="637">
        <v>0</v>
      </c>
      <c r="M81" s="607">
        <v>0</v>
      </c>
      <c r="N81" s="610"/>
    </row>
    <row r="82" spans="1:14" ht="12.75">
      <c r="A82" s="1461"/>
      <c r="B82" s="1464"/>
      <c r="C82" s="1464"/>
      <c r="D82" s="1467"/>
      <c r="E82" s="1467"/>
      <c r="F82" s="1470"/>
      <c r="G82" s="1464"/>
      <c r="H82" s="1464"/>
      <c r="I82" s="1458"/>
      <c r="J82" s="1458"/>
      <c r="K82" s="608" t="s">
        <v>136</v>
      </c>
      <c r="L82" s="607">
        <v>21590</v>
      </c>
      <c r="M82" s="607">
        <v>0</v>
      </c>
      <c r="N82" s="610"/>
    </row>
    <row r="83" spans="1:16" ht="13.5" thickBot="1">
      <c r="A83" s="1462"/>
      <c r="B83" s="1465"/>
      <c r="C83" s="1465"/>
      <c r="D83" s="1468"/>
      <c r="E83" s="1468"/>
      <c r="F83" s="1471"/>
      <c r="G83" s="1465"/>
      <c r="H83" s="1465"/>
      <c r="I83" s="1459"/>
      <c r="J83" s="1459"/>
      <c r="K83" s="611" t="s">
        <v>137</v>
      </c>
      <c r="L83" s="413">
        <v>3810</v>
      </c>
      <c r="M83" s="413">
        <v>0</v>
      </c>
      <c r="N83" s="414"/>
      <c r="P83" s="66"/>
    </row>
    <row r="84" spans="1:15" ht="12.75">
      <c r="A84" s="1460" t="s">
        <v>48</v>
      </c>
      <c r="B84" s="1464">
        <v>900</v>
      </c>
      <c r="C84" s="1464">
        <v>90001</v>
      </c>
      <c r="D84" s="1467" t="s">
        <v>314</v>
      </c>
      <c r="E84" s="1467" t="s">
        <v>503</v>
      </c>
      <c r="F84" s="1470" t="s">
        <v>139</v>
      </c>
      <c r="G84" s="1464">
        <v>2008</v>
      </c>
      <c r="H84" s="1464">
        <v>2010</v>
      </c>
      <c r="I84" s="1458">
        <v>5560000</v>
      </c>
      <c r="J84" s="1490">
        <v>5515000</v>
      </c>
      <c r="K84" s="943" t="s">
        <v>138</v>
      </c>
      <c r="L84" s="944">
        <f>SUM(L85:L87)</f>
        <v>1500000</v>
      </c>
      <c r="M84" s="945">
        <f>SUM(M85:M87)</f>
        <v>4015000</v>
      </c>
      <c r="N84" s="946">
        <f>SUM(N85:N87)</f>
        <v>0</v>
      </c>
      <c r="O84" s="947"/>
    </row>
    <row r="85" spans="1:17" s="330" customFormat="1" ht="12.75">
      <c r="A85" s="1461"/>
      <c r="B85" s="1472"/>
      <c r="C85" s="1472"/>
      <c r="D85" s="1472"/>
      <c r="E85" s="1472"/>
      <c r="F85" s="1472"/>
      <c r="G85" s="1472"/>
      <c r="H85" s="1472"/>
      <c r="I85" s="1488"/>
      <c r="J85" s="1488"/>
      <c r="K85" s="608" t="s">
        <v>14</v>
      </c>
      <c r="L85" s="637">
        <v>375000</v>
      </c>
      <c r="M85" s="607">
        <v>1003750</v>
      </c>
      <c r="N85" s="610"/>
      <c r="O85" s="948"/>
      <c r="P85" s="949"/>
      <c r="Q85" s="950"/>
    </row>
    <row r="86" spans="1:17" ht="12.75">
      <c r="A86" s="1461"/>
      <c r="B86" s="1472"/>
      <c r="C86" s="1472"/>
      <c r="D86" s="1472"/>
      <c r="E86" s="1472"/>
      <c r="F86" s="1472"/>
      <c r="G86" s="1472"/>
      <c r="H86" s="1472"/>
      <c r="I86" s="1488"/>
      <c r="J86" s="1488"/>
      <c r="K86" s="608" t="s">
        <v>136</v>
      </c>
      <c r="L86" s="637">
        <v>1125000</v>
      </c>
      <c r="M86" s="607">
        <v>3011250</v>
      </c>
      <c r="N86" s="610"/>
      <c r="O86" s="948"/>
      <c r="P86" s="66"/>
      <c r="Q86" s="66"/>
    </row>
    <row r="87" spans="1:14" ht="13.5" thickBot="1">
      <c r="A87" s="1462"/>
      <c r="B87" s="1473"/>
      <c r="C87" s="1473"/>
      <c r="D87" s="1473"/>
      <c r="E87" s="1473"/>
      <c r="F87" s="1473"/>
      <c r="G87" s="1473"/>
      <c r="H87" s="1473"/>
      <c r="I87" s="1489"/>
      <c r="J87" s="1489"/>
      <c r="K87" s="611" t="s">
        <v>137</v>
      </c>
      <c r="L87" s="951">
        <v>0</v>
      </c>
      <c r="M87" s="413">
        <v>0</v>
      </c>
      <c r="N87" s="414"/>
    </row>
    <row r="88" spans="1:16" ht="12.75">
      <c r="A88" s="1460" t="s">
        <v>49</v>
      </c>
      <c r="B88" s="1464">
        <v>900</v>
      </c>
      <c r="C88" s="1464">
        <v>90002</v>
      </c>
      <c r="D88" s="1467" t="s">
        <v>313</v>
      </c>
      <c r="E88" s="1467" t="s">
        <v>9</v>
      </c>
      <c r="F88" s="1470" t="s">
        <v>508</v>
      </c>
      <c r="G88" s="1464">
        <v>2008</v>
      </c>
      <c r="H88" s="1464">
        <v>2010</v>
      </c>
      <c r="I88" s="1458">
        <v>7100000</v>
      </c>
      <c r="J88" s="1490">
        <v>7100000</v>
      </c>
      <c r="K88" s="943" t="s">
        <v>138</v>
      </c>
      <c r="L88" s="944">
        <f>SUM(L89:L91)</f>
        <v>3000000</v>
      </c>
      <c r="M88" s="945">
        <f>SUM(M89:M91)</f>
        <v>3100000</v>
      </c>
      <c r="N88" s="946">
        <f>SUM(N89:N91)</f>
        <v>0</v>
      </c>
      <c r="O88" s="947"/>
      <c r="P88" s="66"/>
    </row>
    <row r="89" spans="1:17" s="330" customFormat="1" ht="12.75">
      <c r="A89" s="1461"/>
      <c r="B89" s="1472"/>
      <c r="C89" s="1472"/>
      <c r="D89" s="1472"/>
      <c r="E89" s="1472"/>
      <c r="F89" s="1472"/>
      <c r="G89" s="1472"/>
      <c r="H89" s="1472"/>
      <c r="I89" s="1488"/>
      <c r="J89" s="1488"/>
      <c r="K89" s="608" t="s">
        <v>14</v>
      </c>
      <c r="L89" s="637">
        <v>450000</v>
      </c>
      <c r="M89" s="637">
        <v>465000</v>
      </c>
      <c r="N89" s="1252"/>
      <c r="O89" s="948"/>
      <c r="P89" s="949"/>
      <c r="Q89" s="950"/>
    </row>
    <row r="90" spans="1:17" ht="12.75">
      <c r="A90" s="1461"/>
      <c r="B90" s="1472"/>
      <c r="C90" s="1472"/>
      <c r="D90" s="1472"/>
      <c r="E90" s="1472"/>
      <c r="F90" s="1472"/>
      <c r="G90" s="1472"/>
      <c r="H90" s="1472"/>
      <c r="I90" s="1488"/>
      <c r="J90" s="1488"/>
      <c r="K90" s="608" t="s">
        <v>136</v>
      </c>
      <c r="L90" s="637">
        <v>2550000</v>
      </c>
      <c r="M90" s="637">
        <v>2635000</v>
      </c>
      <c r="N90" s="1252"/>
      <c r="O90" s="948"/>
      <c r="P90" s="66"/>
      <c r="Q90" s="66"/>
    </row>
    <row r="91" spans="1:14" ht="13.5" thickBot="1">
      <c r="A91" s="1462"/>
      <c r="B91" s="1473"/>
      <c r="C91" s="1473"/>
      <c r="D91" s="1473"/>
      <c r="E91" s="1473"/>
      <c r="F91" s="1473"/>
      <c r="G91" s="1473"/>
      <c r="H91" s="1473"/>
      <c r="I91" s="1489"/>
      <c r="J91" s="1489"/>
      <c r="K91" s="611" t="s">
        <v>137</v>
      </c>
      <c r="L91" s="951">
        <v>0</v>
      </c>
      <c r="M91" s="951">
        <v>0</v>
      </c>
      <c r="N91" s="1253"/>
    </row>
    <row r="92" spans="1:16" ht="12.75">
      <c r="A92" s="1460" t="s">
        <v>50</v>
      </c>
      <c r="B92" s="1464">
        <v>900</v>
      </c>
      <c r="C92" s="1464">
        <v>90095</v>
      </c>
      <c r="D92" s="1467" t="s">
        <v>313</v>
      </c>
      <c r="E92" s="1467" t="s">
        <v>10</v>
      </c>
      <c r="F92" s="1470" t="s">
        <v>139</v>
      </c>
      <c r="G92" s="1464">
        <v>2008</v>
      </c>
      <c r="H92" s="1464">
        <v>2011</v>
      </c>
      <c r="I92" s="1458">
        <v>6943000</v>
      </c>
      <c r="J92" s="1490">
        <v>6893000</v>
      </c>
      <c r="K92" s="943" t="s">
        <v>138</v>
      </c>
      <c r="L92" s="944">
        <f>SUM(L93:L95)</f>
        <v>2000000</v>
      </c>
      <c r="M92" s="945">
        <f>SUM(M93:M95)</f>
        <v>2000000</v>
      </c>
      <c r="N92" s="946">
        <f>SUM(N93:N95)</f>
        <v>2313000</v>
      </c>
      <c r="O92" s="947"/>
      <c r="P92" s="66"/>
    </row>
    <row r="93" spans="1:17" s="330" customFormat="1" ht="12.75">
      <c r="A93" s="1461"/>
      <c r="B93" s="1472"/>
      <c r="C93" s="1472"/>
      <c r="D93" s="1472"/>
      <c r="E93" s="1472"/>
      <c r="F93" s="1472"/>
      <c r="G93" s="1472"/>
      <c r="H93" s="1472"/>
      <c r="I93" s="1488"/>
      <c r="J93" s="1488"/>
      <c r="K93" s="608" t="s">
        <v>14</v>
      </c>
      <c r="L93" s="637">
        <v>1000000</v>
      </c>
      <c r="M93" s="637">
        <v>1000000</v>
      </c>
      <c r="N93" s="610">
        <v>866500</v>
      </c>
      <c r="O93" s="948"/>
      <c r="P93" s="949"/>
      <c r="Q93" s="950"/>
    </row>
    <row r="94" spans="1:17" ht="12.75">
      <c r="A94" s="1461"/>
      <c r="B94" s="1472"/>
      <c r="C94" s="1472"/>
      <c r="D94" s="1472"/>
      <c r="E94" s="1472"/>
      <c r="F94" s="1472"/>
      <c r="G94" s="1472"/>
      <c r="H94" s="1472"/>
      <c r="I94" s="1488"/>
      <c r="J94" s="1488"/>
      <c r="K94" s="608" t="s">
        <v>136</v>
      </c>
      <c r="L94" s="637">
        <v>1000000</v>
      </c>
      <c r="M94" s="637">
        <v>1000000</v>
      </c>
      <c r="N94" s="610">
        <v>1446500</v>
      </c>
      <c r="O94" s="948"/>
      <c r="P94" s="66"/>
      <c r="Q94" s="66"/>
    </row>
    <row r="95" spans="1:14" ht="13.5" thickBot="1">
      <c r="A95" s="1462"/>
      <c r="B95" s="1473"/>
      <c r="C95" s="1473"/>
      <c r="D95" s="1473"/>
      <c r="E95" s="1473"/>
      <c r="F95" s="1473"/>
      <c r="G95" s="1473"/>
      <c r="H95" s="1473"/>
      <c r="I95" s="1489"/>
      <c r="J95" s="1489"/>
      <c r="K95" s="611" t="s">
        <v>137</v>
      </c>
      <c r="L95" s="951">
        <v>0</v>
      </c>
      <c r="M95" s="413">
        <v>0</v>
      </c>
      <c r="N95" s="414"/>
    </row>
    <row r="96" spans="1:16" ht="12.75">
      <c r="A96" s="1460" t="s">
        <v>51</v>
      </c>
      <c r="B96" s="1464">
        <v>900</v>
      </c>
      <c r="C96" s="1464">
        <v>90095</v>
      </c>
      <c r="D96" s="1467" t="s">
        <v>312</v>
      </c>
      <c r="E96" s="1467" t="s">
        <v>502</v>
      </c>
      <c r="F96" s="1470" t="s">
        <v>322</v>
      </c>
      <c r="G96" s="1464">
        <v>2008</v>
      </c>
      <c r="H96" s="1464">
        <v>2011</v>
      </c>
      <c r="I96" s="1458">
        <v>6800280</v>
      </c>
      <c r="J96" s="1490">
        <v>6176800</v>
      </c>
      <c r="K96" s="943" t="s">
        <v>138</v>
      </c>
      <c r="L96" s="944">
        <f>SUM(L97:L99)</f>
        <v>800280</v>
      </c>
      <c r="M96" s="945">
        <f>SUM(M97:M99)</f>
        <v>3000000</v>
      </c>
      <c r="N96" s="946">
        <f>SUM(N97:N99)</f>
        <v>3000000</v>
      </c>
      <c r="O96" s="947"/>
      <c r="P96" s="66"/>
    </row>
    <row r="97" spans="1:17" s="330" customFormat="1" ht="12.75">
      <c r="A97" s="1461"/>
      <c r="B97" s="1472"/>
      <c r="C97" s="1472"/>
      <c r="D97" s="1502"/>
      <c r="E97" s="1472"/>
      <c r="F97" s="1472"/>
      <c r="G97" s="1472"/>
      <c r="H97" s="1472"/>
      <c r="I97" s="1488"/>
      <c r="J97" s="1488"/>
      <c r="K97" s="608" t="s">
        <v>14</v>
      </c>
      <c r="L97" s="637">
        <v>50000</v>
      </c>
      <c r="M97" s="637"/>
      <c r="N97" s="610"/>
      <c r="O97" s="948"/>
      <c r="P97" s="949"/>
      <c r="Q97" s="950"/>
    </row>
    <row r="98" spans="1:17" ht="12.75">
      <c r="A98" s="1461"/>
      <c r="B98" s="1472"/>
      <c r="C98" s="1472"/>
      <c r="D98" s="1502"/>
      <c r="E98" s="1472"/>
      <c r="F98" s="1472"/>
      <c r="G98" s="1472"/>
      <c r="H98" s="1472"/>
      <c r="I98" s="1488"/>
      <c r="J98" s="1488"/>
      <c r="K98" s="608" t="s">
        <v>136</v>
      </c>
      <c r="L98" s="637">
        <v>637738</v>
      </c>
      <c r="M98" s="637">
        <v>2550000</v>
      </c>
      <c r="N98" s="610">
        <v>2062542</v>
      </c>
      <c r="O98" s="948"/>
      <c r="P98" s="66"/>
      <c r="Q98" s="66"/>
    </row>
    <row r="99" spans="1:14" ht="13.5" thickBot="1">
      <c r="A99" s="1462"/>
      <c r="B99" s="1473"/>
      <c r="C99" s="1473"/>
      <c r="D99" s="1503"/>
      <c r="E99" s="1473"/>
      <c r="F99" s="1473"/>
      <c r="G99" s="1473"/>
      <c r="H99" s="1473"/>
      <c r="I99" s="1489"/>
      <c r="J99" s="1489"/>
      <c r="K99" s="611" t="s">
        <v>137</v>
      </c>
      <c r="L99" s="951">
        <v>112542</v>
      </c>
      <c r="M99" s="413">
        <v>450000</v>
      </c>
      <c r="N99" s="414">
        <v>937458</v>
      </c>
    </row>
    <row r="100" spans="1:16" ht="12.75">
      <c r="A100" s="1460" t="s">
        <v>292</v>
      </c>
      <c r="B100" s="1463">
        <v>921</v>
      </c>
      <c r="C100" s="1463">
        <v>92109</v>
      </c>
      <c r="D100" s="1466" t="s">
        <v>108</v>
      </c>
      <c r="E100" s="1466" t="s">
        <v>458</v>
      </c>
      <c r="F100" s="1476" t="s">
        <v>139</v>
      </c>
      <c r="G100" s="1463">
        <v>2006</v>
      </c>
      <c r="H100" s="1463">
        <v>2010</v>
      </c>
      <c r="I100" s="1457">
        <v>1060000</v>
      </c>
      <c r="J100" s="1491">
        <v>1000000</v>
      </c>
      <c r="K100" s="609" t="s">
        <v>138</v>
      </c>
      <c r="L100" s="636">
        <f>SUM(L101:L103)</f>
        <v>270000</v>
      </c>
      <c r="M100" s="612">
        <f>SUM(M101:M103)</f>
        <v>750000</v>
      </c>
      <c r="N100" s="613">
        <f>SUM(N101:N103)</f>
        <v>0</v>
      </c>
      <c r="P100" s="66"/>
    </row>
    <row r="101" spans="1:16" s="330" customFormat="1" ht="12.75">
      <c r="A101" s="1461"/>
      <c r="B101" s="1464"/>
      <c r="C101" s="1464"/>
      <c r="D101" s="1467"/>
      <c r="E101" s="1467"/>
      <c r="F101" s="1470"/>
      <c r="G101" s="1464"/>
      <c r="H101" s="1464"/>
      <c r="I101" s="1458"/>
      <c r="J101" s="1490"/>
      <c r="K101" s="608" t="s">
        <v>14</v>
      </c>
      <c r="L101" s="637">
        <v>145000</v>
      </c>
      <c r="M101" s="607">
        <v>375000</v>
      </c>
      <c r="N101" s="610"/>
      <c r="O101" s="952"/>
      <c r="P101" s="949"/>
    </row>
    <row r="102" spans="1:16" ht="12.75">
      <c r="A102" s="1461"/>
      <c r="B102" s="1464"/>
      <c r="C102" s="1464"/>
      <c r="D102" s="1467"/>
      <c r="E102" s="1467"/>
      <c r="F102" s="1470"/>
      <c r="G102" s="1464"/>
      <c r="H102" s="1464"/>
      <c r="I102" s="1458"/>
      <c r="J102" s="1490"/>
      <c r="K102" s="608" t="s">
        <v>136</v>
      </c>
      <c r="L102" s="637">
        <v>125000</v>
      </c>
      <c r="M102" s="607">
        <v>375000</v>
      </c>
      <c r="N102" s="610"/>
      <c r="O102" s="952"/>
      <c r="P102" s="66"/>
    </row>
    <row r="103" spans="1:14" ht="13.5" thickBot="1">
      <c r="A103" s="1462"/>
      <c r="B103" s="1465"/>
      <c r="C103" s="1465"/>
      <c r="D103" s="1468"/>
      <c r="E103" s="1468"/>
      <c r="F103" s="1471"/>
      <c r="G103" s="1465"/>
      <c r="H103" s="1465"/>
      <c r="I103" s="1459"/>
      <c r="J103" s="1492"/>
      <c r="K103" s="611" t="s">
        <v>137</v>
      </c>
      <c r="L103" s="951">
        <v>0</v>
      </c>
      <c r="M103" s="413"/>
      <c r="N103" s="414"/>
    </row>
    <row r="104" spans="1:16" ht="12.75">
      <c r="A104" s="1460" t="s">
        <v>293</v>
      </c>
      <c r="B104" s="1463">
        <v>921</v>
      </c>
      <c r="C104" s="1463">
        <v>92109</v>
      </c>
      <c r="D104" s="1466" t="s">
        <v>108</v>
      </c>
      <c r="E104" s="1466" t="s">
        <v>106</v>
      </c>
      <c r="F104" s="1476" t="s">
        <v>139</v>
      </c>
      <c r="G104" s="1463">
        <v>2008</v>
      </c>
      <c r="H104" s="1463">
        <v>2010</v>
      </c>
      <c r="I104" s="1457">
        <v>726500</v>
      </c>
      <c r="J104" s="1491">
        <v>700000</v>
      </c>
      <c r="K104" s="609" t="s">
        <v>138</v>
      </c>
      <c r="L104" s="636">
        <f>SUM(L105:L107)</f>
        <v>250000</v>
      </c>
      <c r="M104" s="612">
        <f>SUM(M105:M107)</f>
        <v>450000</v>
      </c>
      <c r="N104" s="613">
        <f>SUM(N105:N107)</f>
        <v>0</v>
      </c>
      <c r="P104" s="66"/>
    </row>
    <row r="105" spans="1:16" s="330" customFormat="1" ht="12.75">
      <c r="A105" s="1461"/>
      <c r="B105" s="1464"/>
      <c r="C105" s="1464"/>
      <c r="D105" s="1467"/>
      <c r="E105" s="1467"/>
      <c r="F105" s="1470"/>
      <c r="G105" s="1464"/>
      <c r="H105" s="1464"/>
      <c r="I105" s="1458"/>
      <c r="J105" s="1490"/>
      <c r="K105" s="608" t="s">
        <v>14</v>
      </c>
      <c r="L105" s="637">
        <v>125000</v>
      </c>
      <c r="M105" s="607">
        <v>225000</v>
      </c>
      <c r="N105" s="610"/>
      <c r="O105" s="952"/>
      <c r="P105" s="949"/>
    </row>
    <row r="106" spans="1:16" ht="12.75">
      <c r="A106" s="1461"/>
      <c r="B106" s="1464"/>
      <c r="C106" s="1464"/>
      <c r="D106" s="1467"/>
      <c r="E106" s="1467"/>
      <c r="F106" s="1470"/>
      <c r="G106" s="1464"/>
      <c r="H106" s="1464"/>
      <c r="I106" s="1458"/>
      <c r="J106" s="1490"/>
      <c r="K106" s="608" t="s">
        <v>136</v>
      </c>
      <c r="L106" s="637">
        <v>125000</v>
      </c>
      <c r="M106" s="607">
        <v>225000</v>
      </c>
      <c r="N106" s="610"/>
      <c r="O106" s="952"/>
      <c r="P106" s="66"/>
    </row>
    <row r="107" spans="1:14" ht="13.5" thickBot="1">
      <c r="A107" s="1462"/>
      <c r="B107" s="1465"/>
      <c r="C107" s="1465"/>
      <c r="D107" s="1468"/>
      <c r="E107" s="1468"/>
      <c r="F107" s="1471"/>
      <c r="G107" s="1465"/>
      <c r="H107" s="1465"/>
      <c r="I107" s="1459"/>
      <c r="J107" s="1492"/>
      <c r="K107" s="611" t="s">
        <v>137</v>
      </c>
      <c r="L107" s="951">
        <v>0</v>
      </c>
      <c r="M107" s="413"/>
      <c r="N107" s="414"/>
    </row>
    <row r="108" spans="1:16" ht="12.75">
      <c r="A108" s="1493" t="s">
        <v>566</v>
      </c>
      <c r="B108" s="1494"/>
      <c r="C108" s="1494"/>
      <c r="D108" s="1494"/>
      <c r="E108" s="1494"/>
      <c r="F108" s="1494"/>
      <c r="G108" s="1494"/>
      <c r="H108" s="1494"/>
      <c r="I108" s="1499">
        <f>SUM(I7:I54,I56:I107)</f>
        <v>33466614</v>
      </c>
      <c r="J108" s="1499">
        <f>SUM(J7:J54,J56:J107)</f>
        <v>32259672</v>
      </c>
      <c r="K108" s="1218" t="s">
        <v>138</v>
      </c>
      <c r="L108" s="892">
        <f>SUM(L109:L111)</f>
        <v>10348604</v>
      </c>
      <c r="M108" s="893">
        <f>SUM(M109:M111)</f>
        <v>15136000</v>
      </c>
      <c r="N108" s="894">
        <f>SUM(N109:N111)</f>
        <v>5313000</v>
      </c>
      <c r="O108" s="66"/>
      <c r="P108" s="66"/>
    </row>
    <row r="109" spans="1:15" ht="12.75">
      <c r="A109" s="1495"/>
      <c r="B109" s="1496"/>
      <c r="C109" s="1496"/>
      <c r="D109" s="1496"/>
      <c r="E109" s="1496"/>
      <c r="F109" s="1496"/>
      <c r="G109" s="1496"/>
      <c r="H109" s="1496"/>
      <c r="I109" s="1500"/>
      <c r="J109" s="1500"/>
      <c r="K109" s="1219" t="s">
        <v>14</v>
      </c>
      <c r="L109" s="895">
        <f>SUM(L8+L12+L16+L20+L24+L28+L32+L36+L40+L44+L48+L52+L57+L61+L65+L69+L73+L77+L81+L85+L93+L89+L97+L101+L105)</f>
        <v>2437385</v>
      </c>
      <c r="M109" s="895">
        <f>SUM(M8+M12+M16+M20+M24+M28+M32+M36+M40+M44+M48+M52+M57+M61+M65+M69+M73+M77+M81+M85+M93+M89+M97+M101+M105)</f>
        <v>3341900</v>
      </c>
      <c r="N109" s="639">
        <f>SUM(N8+N12+N16+N20+N24+N28+N32+N36+N40+N44+N48+N52+N57+N61+N65+N69+N73+N77+N81+N85+N93+N89+N97+N101+N105)</f>
        <v>866500</v>
      </c>
      <c r="O109" s="66"/>
    </row>
    <row r="110" spans="1:15" ht="12.75">
      <c r="A110" s="1495"/>
      <c r="B110" s="1496"/>
      <c r="C110" s="1496"/>
      <c r="D110" s="1496"/>
      <c r="E110" s="1496"/>
      <c r="F110" s="1496"/>
      <c r="G110" s="1496"/>
      <c r="H110" s="1496"/>
      <c r="I110" s="1500"/>
      <c r="J110" s="1500"/>
      <c r="K110" s="1219" t="s">
        <v>136</v>
      </c>
      <c r="L110" s="895">
        <f aca="true" t="shared" si="0" ref="L110:N111">SUM(L9+L13+L17+L21+L25+L29+L33+L37+L41+L45+L49+L53+L58+L62+L66+L70+L74+L78+L82+L86+L94+L90+L98+L102+L106)</f>
        <v>7711359</v>
      </c>
      <c r="M110" s="895">
        <f t="shared" si="0"/>
        <v>11344100</v>
      </c>
      <c r="N110" s="639">
        <f t="shared" si="0"/>
        <v>3509042</v>
      </c>
      <c r="O110" s="66"/>
    </row>
    <row r="111" spans="1:15" ht="13.5" thickBot="1">
      <c r="A111" s="1497"/>
      <c r="B111" s="1498"/>
      <c r="C111" s="1498"/>
      <c r="D111" s="1498"/>
      <c r="E111" s="1498"/>
      <c r="F111" s="1498"/>
      <c r="G111" s="1498"/>
      <c r="H111" s="1498"/>
      <c r="I111" s="1501"/>
      <c r="J111" s="1501"/>
      <c r="K111" s="1220" t="s">
        <v>137</v>
      </c>
      <c r="L111" s="896">
        <f t="shared" si="0"/>
        <v>199860</v>
      </c>
      <c r="M111" s="896">
        <f t="shared" si="0"/>
        <v>450000</v>
      </c>
      <c r="N111" s="640">
        <f t="shared" si="0"/>
        <v>937458</v>
      </c>
      <c r="O111" s="66"/>
    </row>
    <row r="112" spans="1:14" ht="12">
      <c r="A112" s="616"/>
      <c r="B112" s="275"/>
      <c r="C112" s="275"/>
      <c r="G112" s="96"/>
      <c r="H112" s="96"/>
      <c r="I112" s="96"/>
      <c r="J112" s="96"/>
      <c r="K112" s="96"/>
      <c r="L112" s="96"/>
      <c r="M112" s="96"/>
      <c r="N112" s="96"/>
    </row>
    <row r="113" spans="1:14" ht="12">
      <c r="A113" s="616"/>
      <c r="B113" s="275"/>
      <c r="C113" s="275"/>
      <c r="G113" s="96"/>
      <c r="H113" s="96"/>
      <c r="I113" s="96"/>
      <c r="J113" s="96"/>
      <c r="K113" s="96"/>
      <c r="L113" s="1221"/>
      <c r="M113" s="1221"/>
      <c r="N113" s="1221"/>
    </row>
    <row r="114" spans="1:14" ht="12">
      <c r="A114" s="616"/>
      <c r="B114" s="275"/>
      <c r="C114" s="275"/>
      <c r="G114" s="96"/>
      <c r="H114" s="96"/>
      <c r="I114" s="96"/>
      <c r="J114" s="96"/>
      <c r="K114" s="96"/>
      <c r="L114" s="96"/>
      <c r="M114" s="96"/>
      <c r="N114" s="96"/>
    </row>
    <row r="115" spans="1:14" ht="12">
      <c r="A115" s="616"/>
      <c r="B115" s="275"/>
      <c r="C115" s="275"/>
      <c r="G115" s="96"/>
      <c r="H115" s="96"/>
      <c r="I115" s="96"/>
      <c r="J115" s="96"/>
      <c r="K115" s="96"/>
      <c r="L115" s="96"/>
      <c r="M115" s="96"/>
      <c r="N115" s="96"/>
    </row>
    <row r="116" spans="1:14" ht="12">
      <c r="A116" s="616"/>
      <c r="B116" s="275"/>
      <c r="C116" s="275"/>
      <c r="G116" s="96"/>
      <c r="H116" s="96"/>
      <c r="I116" s="96"/>
      <c r="J116" s="96"/>
      <c r="K116" s="96"/>
      <c r="L116" s="96"/>
      <c r="M116" s="96"/>
      <c r="N116" s="96"/>
    </row>
    <row r="117" spans="1:14" ht="12">
      <c r="A117" s="616"/>
      <c r="B117" s="275"/>
      <c r="C117" s="275"/>
      <c r="G117" s="96"/>
      <c r="H117" s="96"/>
      <c r="I117" s="96"/>
      <c r="J117" s="96"/>
      <c r="K117" s="96"/>
      <c r="L117" s="96"/>
      <c r="M117" s="96"/>
      <c r="N117" s="96"/>
    </row>
    <row r="118" spans="7:14" ht="12">
      <c r="G118" s="96"/>
      <c r="H118" s="96"/>
      <c r="I118" s="96"/>
      <c r="J118" s="96"/>
      <c r="K118" s="96"/>
      <c r="L118" s="96"/>
      <c r="M118" s="96"/>
      <c r="N118" s="96"/>
    </row>
    <row r="119" spans="7:14" ht="12">
      <c r="G119" s="96"/>
      <c r="H119" s="96"/>
      <c r="I119" s="96"/>
      <c r="J119" s="96"/>
      <c r="K119" s="96"/>
      <c r="L119" s="96"/>
      <c r="M119" s="96"/>
      <c r="N119" s="96"/>
    </row>
    <row r="120" spans="7:14" ht="12">
      <c r="G120" s="96"/>
      <c r="H120" s="96"/>
      <c r="I120" s="96"/>
      <c r="J120" s="96"/>
      <c r="K120" s="96"/>
      <c r="L120" s="96"/>
      <c r="M120" s="96"/>
      <c r="N120" s="96"/>
    </row>
    <row r="121" spans="7:14" ht="12">
      <c r="G121" s="96"/>
      <c r="H121" s="96"/>
      <c r="I121" s="96"/>
      <c r="J121" s="96"/>
      <c r="K121" s="96"/>
      <c r="L121" s="96"/>
      <c r="M121" s="96"/>
      <c r="N121" s="96"/>
    </row>
    <row r="122" spans="7:14" ht="12">
      <c r="G122" s="96"/>
      <c r="H122" s="96"/>
      <c r="I122" s="96"/>
      <c r="J122" s="96"/>
      <c r="K122" s="96"/>
      <c r="L122" s="96"/>
      <c r="M122" s="96"/>
      <c r="N122" s="96"/>
    </row>
    <row r="123" spans="7:14" ht="12">
      <c r="G123" s="96"/>
      <c r="H123" s="96"/>
      <c r="I123" s="96"/>
      <c r="J123" s="96"/>
      <c r="K123" s="96"/>
      <c r="L123" s="96"/>
      <c r="M123" s="96"/>
      <c r="N123" s="96"/>
    </row>
    <row r="124" spans="7:14" ht="12">
      <c r="G124" s="96"/>
      <c r="H124" s="96"/>
      <c r="I124" s="96"/>
      <c r="J124" s="96"/>
      <c r="K124" s="96"/>
      <c r="L124" s="96"/>
      <c r="M124" s="96"/>
      <c r="N124" s="96"/>
    </row>
    <row r="125" spans="7:14" ht="12">
      <c r="G125" s="96"/>
      <c r="H125" s="96"/>
      <c r="I125" s="96"/>
      <c r="J125" s="96"/>
      <c r="K125" s="96"/>
      <c r="L125" s="96"/>
      <c r="M125" s="96"/>
      <c r="N125" s="96"/>
    </row>
    <row r="126" spans="7:14" ht="12">
      <c r="G126" s="96"/>
      <c r="H126" s="96"/>
      <c r="I126" s="96"/>
      <c r="J126" s="96"/>
      <c r="K126" s="96"/>
      <c r="L126" s="96"/>
      <c r="M126" s="96"/>
      <c r="N126" s="96"/>
    </row>
    <row r="127" spans="7:14" ht="12">
      <c r="G127" s="96"/>
      <c r="H127" s="96"/>
      <c r="I127" s="96"/>
      <c r="J127" s="96"/>
      <c r="K127" s="96"/>
      <c r="L127" s="96"/>
      <c r="M127" s="96"/>
      <c r="N127" s="96"/>
    </row>
    <row r="128" spans="7:14" ht="12">
      <c r="G128" s="96"/>
      <c r="H128" s="96"/>
      <c r="I128" s="96"/>
      <c r="J128" s="96"/>
      <c r="K128" s="96"/>
      <c r="L128" s="96"/>
      <c r="M128" s="96"/>
      <c r="N128" s="96"/>
    </row>
    <row r="129" spans="7:14" ht="12">
      <c r="G129" s="96"/>
      <c r="H129" s="96"/>
      <c r="I129" s="96"/>
      <c r="J129" s="96"/>
      <c r="K129" s="96"/>
      <c r="L129" s="96"/>
      <c r="M129" s="96"/>
      <c r="N129" s="96"/>
    </row>
    <row r="130" spans="7:14" ht="12">
      <c r="G130" s="96"/>
      <c r="H130" s="96"/>
      <c r="I130" s="96"/>
      <c r="J130" s="96"/>
      <c r="K130" s="96"/>
      <c r="L130" s="96"/>
      <c r="M130" s="96"/>
      <c r="N130" s="96"/>
    </row>
    <row r="131" spans="7:14" ht="12">
      <c r="G131" s="96"/>
      <c r="H131" s="96"/>
      <c r="I131" s="96"/>
      <c r="J131" s="96"/>
      <c r="K131" s="96"/>
      <c r="L131" s="96"/>
      <c r="M131" s="96"/>
      <c r="N131" s="96"/>
    </row>
    <row r="132" spans="7:14" ht="12">
      <c r="G132" s="96"/>
      <c r="H132" s="96"/>
      <c r="I132" s="96"/>
      <c r="J132" s="96"/>
      <c r="K132" s="96"/>
      <c r="L132" s="96"/>
      <c r="M132" s="96"/>
      <c r="N132" s="96"/>
    </row>
    <row r="133" spans="7:14" ht="12">
      <c r="G133" s="96"/>
      <c r="H133" s="96"/>
      <c r="I133" s="96"/>
      <c r="J133" s="96"/>
      <c r="K133" s="96"/>
      <c r="L133" s="96"/>
      <c r="M133" s="96"/>
      <c r="N133" s="96"/>
    </row>
    <row r="134" spans="7:14" ht="12">
      <c r="G134" s="96"/>
      <c r="H134" s="96"/>
      <c r="I134" s="96"/>
      <c r="J134" s="96"/>
      <c r="K134" s="96"/>
      <c r="L134" s="96"/>
      <c r="M134" s="96"/>
      <c r="N134" s="96"/>
    </row>
    <row r="135" spans="7:14" ht="12">
      <c r="G135" s="96"/>
      <c r="H135" s="96"/>
      <c r="I135" s="96"/>
      <c r="J135" s="96"/>
      <c r="K135" s="96"/>
      <c r="L135" s="96"/>
      <c r="M135" s="96"/>
      <c r="N135" s="96"/>
    </row>
    <row r="136" spans="7:14" ht="12">
      <c r="G136" s="96"/>
      <c r="H136" s="96"/>
      <c r="I136" s="96"/>
      <c r="J136" s="96"/>
      <c r="K136" s="96"/>
      <c r="L136" s="96"/>
      <c r="M136" s="96"/>
      <c r="N136" s="96"/>
    </row>
    <row r="137" spans="7:14" ht="12">
      <c r="G137" s="96"/>
      <c r="H137" s="96"/>
      <c r="I137" s="96"/>
      <c r="J137" s="96"/>
      <c r="K137" s="96"/>
      <c r="L137" s="96"/>
      <c r="M137" s="96"/>
      <c r="N137" s="96"/>
    </row>
    <row r="138" spans="7:14" ht="12">
      <c r="G138" s="96"/>
      <c r="H138" s="96"/>
      <c r="I138" s="96"/>
      <c r="J138" s="96"/>
      <c r="K138" s="96"/>
      <c r="L138" s="96"/>
      <c r="M138" s="96"/>
      <c r="N138" s="96"/>
    </row>
    <row r="139" spans="7:14" ht="12">
      <c r="G139" s="96"/>
      <c r="H139" s="96"/>
      <c r="I139" s="96"/>
      <c r="J139" s="96"/>
      <c r="K139" s="96"/>
      <c r="L139" s="96"/>
      <c r="M139" s="96"/>
      <c r="N139" s="96"/>
    </row>
    <row r="140" spans="7:14" ht="12">
      <c r="G140" s="96"/>
      <c r="H140" s="96"/>
      <c r="I140" s="96"/>
      <c r="J140" s="96"/>
      <c r="K140" s="96"/>
      <c r="L140" s="96"/>
      <c r="M140" s="96"/>
      <c r="N140" s="96"/>
    </row>
    <row r="141" spans="7:14" ht="12">
      <c r="G141" s="96"/>
      <c r="H141" s="96"/>
      <c r="I141" s="96"/>
      <c r="J141" s="96"/>
      <c r="K141" s="96"/>
      <c r="L141" s="96"/>
      <c r="M141" s="96"/>
      <c r="N141" s="96"/>
    </row>
    <row r="142" spans="7:14" ht="12">
      <c r="G142" s="96"/>
      <c r="H142" s="96"/>
      <c r="I142" s="96"/>
      <c r="J142" s="96"/>
      <c r="K142" s="96"/>
      <c r="L142" s="96"/>
      <c r="M142" s="96"/>
      <c r="N142" s="96"/>
    </row>
    <row r="143" spans="7:14" ht="12">
      <c r="G143" s="96"/>
      <c r="H143" s="96"/>
      <c r="I143" s="96"/>
      <c r="J143" s="96"/>
      <c r="K143" s="96"/>
      <c r="L143" s="96"/>
      <c r="M143" s="96"/>
      <c r="N143" s="96"/>
    </row>
    <row r="144" spans="7:14" ht="12">
      <c r="G144" s="96"/>
      <c r="H144" s="96"/>
      <c r="I144" s="96"/>
      <c r="J144" s="96"/>
      <c r="K144" s="96"/>
      <c r="L144" s="96"/>
      <c r="M144" s="96"/>
      <c r="N144" s="96"/>
    </row>
    <row r="145" spans="7:14" ht="12">
      <c r="G145" s="96"/>
      <c r="H145" s="96"/>
      <c r="I145" s="96"/>
      <c r="J145" s="96"/>
      <c r="K145" s="96"/>
      <c r="L145" s="96"/>
      <c r="M145" s="96"/>
      <c r="N145" s="96"/>
    </row>
    <row r="146" spans="7:14" ht="12">
      <c r="G146" s="96"/>
      <c r="H146" s="96"/>
      <c r="I146" s="96"/>
      <c r="J146" s="96"/>
      <c r="K146" s="96"/>
      <c r="L146" s="96"/>
      <c r="M146" s="96"/>
      <c r="N146" s="96"/>
    </row>
    <row r="147" spans="7:14" ht="12">
      <c r="G147" s="96"/>
      <c r="H147" s="96"/>
      <c r="I147" s="96"/>
      <c r="J147" s="96"/>
      <c r="K147" s="96"/>
      <c r="L147" s="96"/>
      <c r="M147" s="96"/>
      <c r="N147" s="96"/>
    </row>
    <row r="148" spans="7:14" ht="12">
      <c r="G148" s="96"/>
      <c r="H148" s="96"/>
      <c r="I148" s="96"/>
      <c r="J148" s="96"/>
      <c r="K148" s="96"/>
      <c r="L148" s="96"/>
      <c r="M148" s="96"/>
      <c r="N148" s="96"/>
    </row>
    <row r="149" spans="7:14" ht="12">
      <c r="G149" s="96"/>
      <c r="H149" s="96"/>
      <c r="I149" s="96"/>
      <c r="J149" s="96"/>
      <c r="K149" s="96"/>
      <c r="L149" s="96"/>
      <c r="M149" s="96"/>
      <c r="N149" s="96"/>
    </row>
    <row r="150" spans="7:14" ht="12">
      <c r="G150" s="96"/>
      <c r="H150" s="96"/>
      <c r="I150" s="96"/>
      <c r="J150" s="96"/>
      <c r="K150" s="96"/>
      <c r="L150" s="96"/>
      <c r="M150" s="96"/>
      <c r="N150" s="96"/>
    </row>
    <row r="151" spans="7:14" ht="12">
      <c r="G151" s="96"/>
      <c r="H151" s="96"/>
      <c r="I151" s="96"/>
      <c r="J151" s="96"/>
      <c r="K151" s="96"/>
      <c r="L151" s="96"/>
      <c r="M151" s="96"/>
      <c r="N151" s="96"/>
    </row>
    <row r="152" spans="7:14" ht="12">
      <c r="G152" s="96"/>
      <c r="H152" s="96"/>
      <c r="I152" s="96"/>
      <c r="J152" s="96"/>
      <c r="K152" s="96"/>
      <c r="L152" s="96"/>
      <c r="M152" s="96"/>
      <c r="N152" s="96"/>
    </row>
    <row r="153" spans="7:14" ht="12">
      <c r="G153" s="96"/>
      <c r="H153" s="96"/>
      <c r="I153" s="96"/>
      <c r="J153" s="96"/>
      <c r="K153" s="96"/>
      <c r="L153" s="96"/>
      <c r="M153" s="96"/>
      <c r="N153" s="96"/>
    </row>
    <row r="154" spans="7:14" ht="12">
      <c r="G154" s="96"/>
      <c r="H154" s="96"/>
      <c r="I154" s="96"/>
      <c r="J154" s="96"/>
      <c r="K154" s="96"/>
      <c r="L154" s="96"/>
      <c r="M154" s="96"/>
      <c r="N154" s="96"/>
    </row>
    <row r="155" spans="7:14" ht="12">
      <c r="G155" s="96"/>
      <c r="H155" s="96"/>
      <c r="I155" s="96"/>
      <c r="J155" s="96"/>
      <c r="K155" s="96"/>
      <c r="L155" s="96"/>
      <c r="M155" s="96"/>
      <c r="N155" s="96"/>
    </row>
    <row r="156" spans="7:14" ht="12">
      <c r="G156" s="96"/>
      <c r="H156" s="96"/>
      <c r="I156" s="96"/>
      <c r="J156" s="96"/>
      <c r="K156" s="96"/>
      <c r="L156" s="96"/>
      <c r="M156" s="96"/>
      <c r="N156" s="96"/>
    </row>
    <row r="157" spans="7:14" ht="12">
      <c r="G157" s="96"/>
      <c r="H157" s="96"/>
      <c r="I157" s="96"/>
      <c r="J157" s="96"/>
      <c r="K157" s="96"/>
      <c r="L157" s="96"/>
      <c r="M157" s="96"/>
      <c r="N157" s="96"/>
    </row>
    <row r="158" spans="7:14" ht="12">
      <c r="G158" s="96"/>
      <c r="H158" s="96"/>
      <c r="I158" s="96"/>
      <c r="J158" s="96"/>
      <c r="K158" s="96"/>
      <c r="L158" s="96"/>
      <c r="M158" s="96"/>
      <c r="N158" s="96"/>
    </row>
    <row r="159" spans="7:14" ht="12">
      <c r="G159" s="96"/>
      <c r="H159" s="96"/>
      <c r="I159" s="96"/>
      <c r="J159" s="96"/>
      <c r="K159" s="96"/>
      <c r="L159" s="96"/>
      <c r="M159" s="96"/>
      <c r="N159" s="96"/>
    </row>
    <row r="160" spans="7:14" ht="12">
      <c r="G160" s="96"/>
      <c r="H160" s="96"/>
      <c r="I160" s="96"/>
      <c r="J160" s="96"/>
      <c r="K160" s="96"/>
      <c r="L160" s="96"/>
      <c r="M160" s="96"/>
      <c r="N160" s="96"/>
    </row>
    <row r="161" spans="7:14" ht="12">
      <c r="G161" s="96"/>
      <c r="H161" s="96"/>
      <c r="I161" s="96"/>
      <c r="J161" s="96"/>
      <c r="K161" s="96"/>
      <c r="L161" s="96"/>
      <c r="M161" s="96"/>
      <c r="N161" s="96"/>
    </row>
    <row r="162" spans="7:14" ht="12">
      <c r="G162" s="96"/>
      <c r="H162" s="96"/>
      <c r="I162" s="96"/>
      <c r="J162" s="96"/>
      <c r="K162" s="96"/>
      <c r="L162" s="96"/>
      <c r="M162" s="96"/>
      <c r="N162" s="96"/>
    </row>
    <row r="163" spans="7:14" ht="12">
      <c r="G163" s="96"/>
      <c r="H163" s="96"/>
      <c r="I163" s="96"/>
      <c r="J163" s="96"/>
      <c r="K163" s="96"/>
      <c r="L163" s="96"/>
      <c r="M163" s="96"/>
      <c r="N163" s="96"/>
    </row>
    <row r="164" spans="7:14" ht="12">
      <c r="G164" s="96"/>
      <c r="H164" s="96"/>
      <c r="I164" s="96"/>
      <c r="J164" s="96"/>
      <c r="K164" s="96"/>
      <c r="L164" s="96"/>
      <c r="M164" s="96"/>
      <c r="N164" s="96"/>
    </row>
    <row r="165" spans="7:14" ht="12">
      <c r="G165" s="96"/>
      <c r="H165" s="96"/>
      <c r="I165" s="96"/>
      <c r="J165" s="96"/>
      <c r="K165" s="96"/>
      <c r="L165" s="96"/>
      <c r="M165" s="96"/>
      <c r="N165" s="96"/>
    </row>
    <row r="166" spans="7:14" ht="12">
      <c r="G166" s="96"/>
      <c r="H166" s="96"/>
      <c r="I166" s="96"/>
      <c r="J166" s="96"/>
      <c r="K166" s="96"/>
      <c r="L166" s="96"/>
      <c r="M166" s="96"/>
      <c r="N166" s="96"/>
    </row>
    <row r="167" spans="7:14" ht="12">
      <c r="G167" s="96"/>
      <c r="H167" s="96"/>
      <c r="I167" s="96"/>
      <c r="J167" s="96"/>
      <c r="K167" s="96"/>
      <c r="L167" s="96"/>
      <c r="M167" s="96"/>
      <c r="N167" s="96"/>
    </row>
    <row r="168" spans="7:14" ht="12">
      <c r="G168" s="96"/>
      <c r="H168" s="96"/>
      <c r="I168" s="96"/>
      <c r="J168" s="96"/>
      <c r="K168" s="96"/>
      <c r="L168" s="96"/>
      <c r="M168" s="96"/>
      <c r="N168" s="96"/>
    </row>
    <row r="169" spans="7:14" ht="12">
      <c r="G169" s="96"/>
      <c r="H169" s="96"/>
      <c r="I169" s="96"/>
      <c r="J169" s="96"/>
      <c r="K169" s="96"/>
      <c r="L169" s="96"/>
      <c r="M169" s="96"/>
      <c r="N169" s="96"/>
    </row>
    <row r="170" spans="7:14" ht="12">
      <c r="G170" s="96"/>
      <c r="H170" s="96"/>
      <c r="I170" s="96"/>
      <c r="J170" s="96"/>
      <c r="K170" s="96"/>
      <c r="L170" s="96"/>
      <c r="M170" s="96"/>
      <c r="N170" s="96"/>
    </row>
    <row r="171" spans="7:14" ht="12">
      <c r="G171" s="96"/>
      <c r="H171" s="96"/>
      <c r="I171" s="96"/>
      <c r="J171" s="96"/>
      <c r="K171" s="96"/>
      <c r="L171" s="96"/>
      <c r="M171" s="96"/>
      <c r="N171" s="96"/>
    </row>
    <row r="172" spans="7:14" ht="12">
      <c r="G172" s="96"/>
      <c r="H172" s="96"/>
      <c r="I172" s="96"/>
      <c r="J172" s="96"/>
      <c r="K172" s="96"/>
      <c r="L172" s="96"/>
      <c r="M172" s="96"/>
      <c r="N172" s="96"/>
    </row>
    <row r="173" spans="7:14" ht="12">
      <c r="G173" s="96"/>
      <c r="H173" s="96"/>
      <c r="I173" s="96"/>
      <c r="J173" s="96"/>
      <c r="K173" s="96"/>
      <c r="L173" s="96"/>
      <c r="M173" s="96"/>
      <c r="N173" s="96"/>
    </row>
    <row r="174" spans="7:14" ht="12">
      <c r="G174" s="96"/>
      <c r="H174" s="96"/>
      <c r="I174" s="96"/>
      <c r="J174" s="96"/>
      <c r="K174" s="96"/>
      <c r="L174" s="96"/>
      <c r="M174" s="96"/>
      <c r="N174" s="96"/>
    </row>
    <row r="175" spans="7:14" ht="12">
      <c r="G175" s="96"/>
      <c r="H175" s="96"/>
      <c r="I175" s="96"/>
      <c r="J175" s="96"/>
      <c r="K175" s="96"/>
      <c r="L175" s="96"/>
      <c r="M175" s="96"/>
      <c r="N175" s="96"/>
    </row>
    <row r="176" spans="7:14" ht="12">
      <c r="G176" s="96"/>
      <c r="H176" s="96"/>
      <c r="I176" s="96"/>
      <c r="J176" s="96"/>
      <c r="K176" s="96"/>
      <c r="L176" s="96"/>
      <c r="M176" s="96"/>
      <c r="N176" s="96"/>
    </row>
    <row r="177" spans="7:14" ht="12">
      <c r="G177" s="96"/>
      <c r="H177" s="96"/>
      <c r="I177" s="96"/>
      <c r="J177" s="96"/>
      <c r="K177" s="96"/>
      <c r="L177" s="96"/>
      <c r="M177" s="96"/>
      <c r="N177" s="96"/>
    </row>
    <row r="178" spans="7:14" ht="12">
      <c r="G178" s="96"/>
      <c r="H178" s="96"/>
      <c r="I178" s="96"/>
      <c r="J178" s="96"/>
      <c r="K178" s="96"/>
      <c r="L178" s="96"/>
      <c r="M178" s="96"/>
      <c r="N178" s="96"/>
    </row>
    <row r="179" spans="7:14" ht="12">
      <c r="G179" s="96"/>
      <c r="H179" s="96"/>
      <c r="I179" s="96"/>
      <c r="J179" s="96"/>
      <c r="K179" s="96"/>
      <c r="L179" s="96"/>
      <c r="M179" s="96"/>
      <c r="N179" s="96"/>
    </row>
    <row r="180" spans="7:14" ht="12">
      <c r="G180" s="96"/>
      <c r="H180" s="96"/>
      <c r="I180" s="96"/>
      <c r="J180" s="96"/>
      <c r="K180" s="96"/>
      <c r="L180" s="96"/>
      <c r="M180" s="96"/>
      <c r="N180" s="96"/>
    </row>
    <row r="181" spans="7:14" ht="12">
      <c r="G181" s="96"/>
      <c r="H181" s="96"/>
      <c r="I181" s="96"/>
      <c r="J181" s="96"/>
      <c r="K181" s="96"/>
      <c r="L181" s="96"/>
      <c r="M181" s="96"/>
      <c r="N181" s="96"/>
    </row>
    <row r="182" spans="7:14" ht="12">
      <c r="G182" s="96"/>
      <c r="H182" s="96"/>
      <c r="I182" s="96"/>
      <c r="J182" s="96"/>
      <c r="K182" s="96"/>
      <c r="L182" s="96"/>
      <c r="M182" s="96"/>
      <c r="N182" s="96"/>
    </row>
    <row r="183" spans="7:14" ht="12">
      <c r="G183" s="96"/>
      <c r="H183" s="96"/>
      <c r="I183" s="96"/>
      <c r="J183" s="96"/>
      <c r="K183" s="96"/>
      <c r="L183" s="96"/>
      <c r="M183" s="96"/>
      <c r="N183" s="96"/>
    </row>
    <row r="184" spans="7:14" ht="12">
      <c r="G184" s="96"/>
      <c r="H184" s="96"/>
      <c r="I184" s="96"/>
      <c r="J184" s="96"/>
      <c r="K184" s="96"/>
      <c r="L184" s="96"/>
      <c r="M184" s="96"/>
      <c r="N184" s="96"/>
    </row>
    <row r="185" spans="7:14" ht="12">
      <c r="G185" s="96"/>
      <c r="H185" s="96"/>
      <c r="I185" s="96"/>
      <c r="J185" s="96"/>
      <c r="K185" s="96"/>
      <c r="L185" s="96"/>
      <c r="M185" s="96"/>
      <c r="N185" s="96"/>
    </row>
    <row r="186" spans="7:14" ht="12">
      <c r="G186" s="96"/>
      <c r="H186" s="96"/>
      <c r="I186" s="96"/>
      <c r="J186" s="96"/>
      <c r="K186" s="96"/>
      <c r="L186" s="96"/>
      <c r="M186" s="96"/>
      <c r="N186" s="96"/>
    </row>
    <row r="187" spans="7:14" ht="12">
      <c r="G187" s="96"/>
      <c r="H187" s="96"/>
      <c r="I187" s="96"/>
      <c r="J187" s="96"/>
      <c r="K187" s="96"/>
      <c r="L187" s="96"/>
      <c r="M187" s="96"/>
      <c r="N187" s="96"/>
    </row>
    <row r="188" spans="7:14" ht="12">
      <c r="G188" s="96"/>
      <c r="H188" s="96"/>
      <c r="I188" s="96"/>
      <c r="J188" s="96"/>
      <c r="K188" s="96"/>
      <c r="L188" s="96"/>
      <c r="M188" s="96"/>
      <c r="N188" s="96"/>
    </row>
    <row r="189" spans="7:14" ht="12">
      <c r="G189" s="96"/>
      <c r="H189" s="96"/>
      <c r="I189" s="96"/>
      <c r="J189" s="96"/>
      <c r="K189" s="96"/>
      <c r="L189" s="96"/>
      <c r="M189" s="96"/>
      <c r="N189" s="96"/>
    </row>
    <row r="190" spans="7:14" ht="12">
      <c r="G190" s="96"/>
      <c r="H190" s="96"/>
      <c r="I190" s="96"/>
      <c r="J190" s="96"/>
      <c r="K190" s="96"/>
      <c r="L190" s="96"/>
      <c r="M190" s="96"/>
      <c r="N190" s="96"/>
    </row>
    <row r="191" spans="7:14" ht="12">
      <c r="G191" s="96"/>
      <c r="H191" s="96"/>
      <c r="I191" s="96"/>
      <c r="J191" s="96"/>
      <c r="K191" s="96"/>
      <c r="L191" s="96"/>
      <c r="M191" s="96"/>
      <c r="N191" s="96"/>
    </row>
    <row r="192" spans="7:14" ht="12">
      <c r="G192" s="96"/>
      <c r="H192" s="96"/>
      <c r="I192" s="96"/>
      <c r="J192" s="96"/>
      <c r="K192" s="96"/>
      <c r="L192" s="96"/>
      <c r="M192" s="96"/>
      <c r="N192" s="96"/>
    </row>
    <row r="193" spans="7:14" ht="12">
      <c r="G193" s="96"/>
      <c r="H193" s="96"/>
      <c r="I193" s="96"/>
      <c r="J193" s="96"/>
      <c r="K193" s="96"/>
      <c r="L193" s="96"/>
      <c r="M193" s="96"/>
      <c r="N193" s="96"/>
    </row>
    <row r="194" spans="7:14" ht="12">
      <c r="G194" s="96"/>
      <c r="H194" s="96"/>
      <c r="I194" s="96"/>
      <c r="J194" s="96"/>
      <c r="K194" s="96"/>
      <c r="L194" s="96"/>
      <c r="M194" s="96"/>
      <c r="N194" s="96"/>
    </row>
    <row r="195" spans="7:14" ht="12">
      <c r="G195" s="96"/>
      <c r="H195" s="96"/>
      <c r="I195" s="96"/>
      <c r="J195" s="96"/>
      <c r="K195" s="96"/>
      <c r="L195" s="96"/>
      <c r="M195" s="96"/>
      <c r="N195" s="96"/>
    </row>
    <row r="196" spans="7:14" ht="12">
      <c r="G196" s="96"/>
      <c r="H196" s="96"/>
      <c r="I196" s="96"/>
      <c r="J196" s="96"/>
      <c r="K196" s="96"/>
      <c r="L196" s="96"/>
      <c r="M196" s="96"/>
      <c r="N196" s="96"/>
    </row>
    <row r="197" spans="7:14" ht="12">
      <c r="G197" s="96"/>
      <c r="H197" s="96"/>
      <c r="I197" s="96"/>
      <c r="J197" s="96"/>
      <c r="K197" s="96"/>
      <c r="L197" s="96"/>
      <c r="M197" s="96"/>
      <c r="N197" s="96"/>
    </row>
    <row r="198" spans="7:14" ht="12">
      <c r="G198" s="96"/>
      <c r="H198" s="96"/>
      <c r="I198" s="96"/>
      <c r="J198" s="96"/>
      <c r="K198" s="96"/>
      <c r="L198" s="96"/>
      <c r="M198" s="96"/>
      <c r="N198" s="96"/>
    </row>
    <row r="199" spans="7:14" ht="12">
      <c r="G199" s="96"/>
      <c r="H199" s="96"/>
      <c r="I199" s="96"/>
      <c r="J199" s="96"/>
      <c r="K199" s="96"/>
      <c r="L199" s="96"/>
      <c r="M199" s="96"/>
      <c r="N199" s="96"/>
    </row>
    <row r="200" spans="7:14" ht="12">
      <c r="G200" s="96"/>
      <c r="H200" s="96"/>
      <c r="I200" s="96"/>
      <c r="J200" s="96"/>
      <c r="K200" s="96"/>
      <c r="L200" s="96"/>
      <c r="M200" s="96"/>
      <c r="N200" s="96"/>
    </row>
    <row r="201" spans="7:14" ht="12">
      <c r="G201" s="96"/>
      <c r="H201" s="96"/>
      <c r="I201" s="96"/>
      <c r="J201" s="96"/>
      <c r="K201" s="96"/>
      <c r="L201" s="96"/>
      <c r="M201" s="96"/>
      <c r="N201" s="96"/>
    </row>
    <row r="202" spans="7:14" ht="12">
      <c r="G202" s="96"/>
      <c r="H202" s="96"/>
      <c r="I202" s="96"/>
      <c r="J202" s="96"/>
      <c r="K202" s="96"/>
      <c r="L202" s="96"/>
      <c r="M202" s="96"/>
      <c r="N202" s="96"/>
    </row>
    <row r="203" spans="7:14" ht="12">
      <c r="G203" s="96"/>
      <c r="H203" s="96"/>
      <c r="I203" s="96"/>
      <c r="J203" s="96"/>
      <c r="K203" s="96"/>
      <c r="L203" s="96"/>
      <c r="M203" s="96"/>
      <c r="N203" s="96"/>
    </row>
  </sheetData>
  <mergeCells count="266">
    <mergeCell ref="E96:E99"/>
    <mergeCell ref="F96:F99"/>
    <mergeCell ref="G96:G99"/>
    <mergeCell ref="H96:H99"/>
    <mergeCell ref="A96:A99"/>
    <mergeCell ref="B96:B99"/>
    <mergeCell ref="C96:C99"/>
    <mergeCell ref="D96:D99"/>
    <mergeCell ref="I100:I103"/>
    <mergeCell ref="J100:J103"/>
    <mergeCell ref="I88:I91"/>
    <mergeCell ref="J88:J91"/>
    <mergeCell ref="I92:I95"/>
    <mergeCell ref="J92:J95"/>
    <mergeCell ref="I96:I99"/>
    <mergeCell ref="J96:J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E88:E91"/>
    <mergeCell ref="F88:F91"/>
    <mergeCell ref="G88:G91"/>
    <mergeCell ref="H88:H91"/>
    <mergeCell ref="A88:A91"/>
    <mergeCell ref="B88:B91"/>
    <mergeCell ref="C88:C91"/>
    <mergeCell ref="D88:D91"/>
    <mergeCell ref="E7:E10"/>
    <mergeCell ref="F7:F10"/>
    <mergeCell ref="G7:G10"/>
    <mergeCell ref="H7:H10"/>
    <mergeCell ref="A7:A10"/>
    <mergeCell ref="B7:B10"/>
    <mergeCell ref="C7:C10"/>
    <mergeCell ref="D7:D10"/>
    <mergeCell ref="I104:I107"/>
    <mergeCell ref="J104:J107"/>
    <mergeCell ref="A108:H111"/>
    <mergeCell ref="I108:I111"/>
    <mergeCell ref="J108:J111"/>
    <mergeCell ref="I84:I87"/>
    <mergeCell ref="J84:J87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80:I83"/>
    <mergeCell ref="J80:J83"/>
    <mergeCell ref="A84:A87"/>
    <mergeCell ref="B84:B87"/>
    <mergeCell ref="C84:C87"/>
    <mergeCell ref="D84:D87"/>
    <mergeCell ref="E84:E87"/>
    <mergeCell ref="F84:F87"/>
    <mergeCell ref="G84:G87"/>
    <mergeCell ref="H84:H87"/>
    <mergeCell ref="E80:E83"/>
    <mergeCell ref="F80:F83"/>
    <mergeCell ref="G80:G83"/>
    <mergeCell ref="H80:H83"/>
    <mergeCell ref="A80:A83"/>
    <mergeCell ref="B80:B83"/>
    <mergeCell ref="C80:C83"/>
    <mergeCell ref="D80:D83"/>
    <mergeCell ref="E76:E79"/>
    <mergeCell ref="F76:F79"/>
    <mergeCell ref="G76:G79"/>
    <mergeCell ref="H76:H79"/>
    <mergeCell ref="A76:A79"/>
    <mergeCell ref="B76:B79"/>
    <mergeCell ref="C76:C79"/>
    <mergeCell ref="D76:D79"/>
    <mergeCell ref="E47:E50"/>
    <mergeCell ref="D47:D50"/>
    <mergeCell ref="A47:A50"/>
    <mergeCell ref="B47:B50"/>
    <mergeCell ref="C47:C50"/>
    <mergeCell ref="H43:H46"/>
    <mergeCell ref="J39:J42"/>
    <mergeCell ref="J43:J46"/>
    <mergeCell ref="I43:I46"/>
    <mergeCell ref="J47:J50"/>
    <mergeCell ref="I47:I50"/>
    <mergeCell ref="G47:G50"/>
    <mergeCell ref="H47:H50"/>
    <mergeCell ref="B39:B42"/>
    <mergeCell ref="C39:C42"/>
    <mergeCell ref="D39:D42"/>
    <mergeCell ref="H39:H42"/>
    <mergeCell ref="E39:E42"/>
    <mergeCell ref="F39:F42"/>
    <mergeCell ref="G39:G42"/>
    <mergeCell ref="D43:D46"/>
    <mergeCell ref="E43:E46"/>
    <mergeCell ref="F43:F46"/>
    <mergeCell ref="G43:G46"/>
    <mergeCell ref="K4:K5"/>
    <mergeCell ref="M1:N1"/>
    <mergeCell ref="A2:N2"/>
    <mergeCell ref="A4:A5"/>
    <mergeCell ref="B4:B5"/>
    <mergeCell ref="C4:C5"/>
    <mergeCell ref="D4:D5"/>
    <mergeCell ref="L4:N4"/>
    <mergeCell ref="E4:E5"/>
    <mergeCell ref="F4:F5"/>
    <mergeCell ref="G4:H4"/>
    <mergeCell ref="I4:I5"/>
    <mergeCell ref="G11:G14"/>
    <mergeCell ref="H11:H14"/>
    <mergeCell ref="I7:I10"/>
    <mergeCell ref="I11:I14"/>
    <mergeCell ref="G27:G30"/>
    <mergeCell ref="G31:G34"/>
    <mergeCell ref="H27:H30"/>
    <mergeCell ref="H31:H34"/>
    <mergeCell ref="G35:G38"/>
    <mergeCell ref="G51:G54"/>
    <mergeCell ref="G56:G59"/>
    <mergeCell ref="G60:G63"/>
    <mergeCell ref="G64:G67"/>
    <mergeCell ref="G68:G71"/>
    <mergeCell ref="G72:G75"/>
    <mergeCell ref="H35:H38"/>
    <mergeCell ref="H51:H54"/>
    <mergeCell ref="H56:H59"/>
    <mergeCell ref="H60:H63"/>
    <mergeCell ref="H64:H67"/>
    <mergeCell ref="H68:H71"/>
    <mergeCell ref="H72:H75"/>
    <mergeCell ref="I51:I54"/>
    <mergeCell ref="I56:I59"/>
    <mergeCell ref="I27:I30"/>
    <mergeCell ref="I31:I34"/>
    <mergeCell ref="I35:I38"/>
    <mergeCell ref="I39:I42"/>
    <mergeCell ref="F35:F38"/>
    <mergeCell ref="F27:F30"/>
    <mergeCell ref="F11:F14"/>
    <mergeCell ref="F72:F75"/>
    <mergeCell ref="F68:F71"/>
    <mergeCell ref="F51:F54"/>
    <mergeCell ref="F56:F59"/>
    <mergeCell ref="F60:F63"/>
    <mergeCell ref="F64:F67"/>
    <mergeCell ref="F47:F50"/>
    <mergeCell ref="E11:E14"/>
    <mergeCell ref="E27:E30"/>
    <mergeCell ref="E31:E34"/>
    <mergeCell ref="E35:E38"/>
    <mergeCell ref="E15:E18"/>
    <mergeCell ref="E72:E75"/>
    <mergeCell ref="D11:D14"/>
    <mergeCell ref="D27:D30"/>
    <mergeCell ref="D31:D34"/>
    <mergeCell ref="D35:D38"/>
    <mergeCell ref="D72:D75"/>
    <mergeCell ref="D51:D54"/>
    <mergeCell ref="D68:D71"/>
    <mergeCell ref="E51:E54"/>
    <mergeCell ref="E56:E59"/>
    <mergeCell ref="B51:B54"/>
    <mergeCell ref="C51:C54"/>
    <mergeCell ref="A11:A14"/>
    <mergeCell ref="A27:A30"/>
    <mergeCell ref="A31:A34"/>
    <mergeCell ref="A35:A38"/>
    <mergeCell ref="B43:B46"/>
    <mergeCell ref="C43:C46"/>
    <mergeCell ref="C11:C14"/>
    <mergeCell ref="A39:A42"/>
    <mergeCell ref="A56:A59"/>
    <mergeCell ref="A60:A63"/>
    <mergeCell ref="D64:D67"/>
    <mergeCell ref="D56:D59"/>
    <mergeCell ref="D60:D63"/>
    <mergeCell ref="B56:B59"/>
    <mergeCell ref="C56:C59"/>
    <mergeCell ref="A72:A75"/>
    <mergeCell ref="B11:B14"/>
    <mergeCell ref="B27:B30"/>
    <mergeCell ref="B60:B63"/>
    <mergeCell ref="A51:A54"/>
    <mergeCell ref="B31:B34"/>
    <mergeCell ref="B35:B38"/>
    <mergeCell ref="A64:A67"/>
    <mergeCell ref="A68:A71"/>
    <mergeCell ref="A43:A46"/>
    <mergeCell ref="B72:B75"/>
    <mergeCell ref="C72:C75"/>
    <mergeCell ref="C60:C63"/>
    <mergeCell ref="B64:B67"/>
    <mergeCell ref="C64:C67"/>
    <mergeCell ref="B68:B71"/>
    <mergeCell ref="C68:C71"/>
    <mergeCell ref="C27:C30"/>
    <mergeCell ref="C31:C34"/>
    <mergeCell ref="J35:J38"/>
    <mergeCell ref="J68:J71"/>
    <mergeCell ref="J64:J67"/>
    <mergeCell ref="C35:C38"/>
    <mergeCell ref="E68:E71"/>
    <mergeCell ref="E60:E63"/>
    <mergeCell ref="E64:E67"/>
    <mergeCell ref="F31:F34"/>
    <mergeCell ref="J72:J75"/>
    <mergeCell ref="J76:J79"/>
    <mergeCell ref="J51:J54"/>
    <mergeCell ref="J4:J5"/>
    <mergeCell ref="J11:J14"/>
    <mergeCell ref="J27:J30"/>
    <mergeCell ref="J31:J34"/>
    <mergeCell ref="J7:J10"/>
    <mergeCell ref="J56:J59"/>
    <mergeCell ref="J60:J63"/>
    <mergeCell ref="I76:I79"/>
    <mergeCell ref="I68:I71"/>
    <mergeCell ref="I72:I75"/>
    <mergeCell ref="I60:I63"/>
    <mergeCell ref="I64:I67"/>
    <mergeCell ref="A92:A95"/>
    <mergeCell ref="B92:B95"/>
    <mergeCell ref="C92:C95"/>
    <mergeCell ref="D92:D95"/>
    <mergeCell ref="E92:E95"/>
    <mergeCell ref="F92:F95"/>
    <mergeCell ref="G92:G95"/>
    <mergeCell ref="H92:H95"/>
    <mergeCell ref="A15:A18"/>
    <mergeCell ref="B15:B18"/>
    <mergeCell ref="C15:C18"/>
    <mergeCell ref="D15:D18"/>
    <mergeCell ref="I19:I22"/>
    <mergeCell ref="F15:F18"/>
    <mergeCell ref="G15:G18"/>
    <mergeCell ref="H15:H18"/>
    <mergeCell ref="I15:I18"/>
    <mergeCell ref="I23:I26"/>
    <mergeCell ref="J15:J18"/>
    <mergeCell ref="A19:A22"/>
    <mergeCell ref="B19:B22"/>
    <mergeCell ref="C19:C22"/>
    <mergeCell ref="D19:D22"/>
    <mergeCell ref="E19:E22"/>
    <mergeCell ref="F19:F22"/>
    <mergeCell ref="G19:G22"/>
    <mergeCell ref="H19:H22"/>
    <mergeCell ref="J23:J26"/>
    <mergeCell ref="J19:J22"/>
    <mergeCell ref="A23:A26"/>
    <mergeCell ref="B23:B26"/>
    <mergeCell ref="C23:C26"/>
    <mergeCell ref="D23:D26"/>
    <mergeCell ref="E23:E26"/>
    <mergeCell ref="F23:F26"/>
    <mergeCell ref="G23:G26"/>
    <mergeCell ref="H23:H26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64" r:id="rId1"/>
  <rowBreaks count="1" manualBreakCount="1">
    <brk id="54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56"/>
  <sheetViews>
    <sheetView showGridLines="0" view="pageBreakPreview" zoomScale="75" zoomScaleNormal="75" zoomScaleSheetLayoutView="75" workbookViewId="0" topLeftCell="A1">
      <selection activeCell="E12" sqref="E12"/>
    </sheetView>
  </sheetViews>
  <sheetFormatPr defaultColWidth="9.00390625" defaultRowHeight="24.75" customHeight="1"/>
  <cols>
    <col min="1" max="1" width="4.125" style="68" customWidth="1"/>
    <col min="2" max="2" width="95.25390625" style="231" customWidth="1"/>
    <col min="3" max="3" width="27.00390625" style="370" customWidth="1"/>
    <col min="4" max="4" width="9.125" style="10" customWidth="1"/>
    <col min="5" max="6" width="10.625" style="10" bestFit="1" customWidth="1"/>
    <col min="7" max="16384" width="9.125" style="10" customWidth="1"/>
  </cols>
  <sheetData>
    <row r="1" spans="2:3" ht="57.75" customHeight="1">
      <c r="B1" s="379"/>
      <c r="C1" s="379" t="s">
        <v>65</v>
      </c>
    </row>
    <row r="2" spans="1:3" ht="12.75" customHeight="1">
      <c r="A2" s="10"/>
      <c r="B2" s="10"/>
      <c r="C2" s="375"/>
    </row>
    <row r="3" spans="1:7" ht="63" customHeight="1">
      <c r="A3" s="1508" t="s">
        <v>219</v>
      </c>
      <c r="B3" s="1509"/>
      <c r="C3" s="1509"/>
      <c r="E3" s="1504"/>
      <c r="F3" s="1505"/>
      <c r="G3" s="1505"/>
    </row>
    <row r="4" spans="1:3" ht="15.75">
      <c r="A4" s="218"/>
      <c r="B4" s="218"/>
      <c r="C4" s="218"/>
    </row>
    <row r="5" spans="1:3" ht="15.75" thickBot="1">
      <c r="A5" s="10"/>
      <c r="B5" s="56"/>
      <c r="C5" s="265" t="s">
        <v>593</v>
      </c>
    </row>
    <row r="6" spans="1:3" ht="23.25" customHeight="1" thickBot="1">
      <c r="A6" s="1510" t="s">
        <v>17</v>
      </c>
      <c r="B6" s="1511"/>
      <c r="C6" s="1512"/>
    </row>
    <row r="7" spans="1:4" ht="54" customHeight="1" thickBot="1">
      <c r="A7" s="256" t="s">
        <v>595</v>
      </c>
      <c r="B7" s="258" t="s">
        <v>334</v>
      </c>
      <c r="C7" s="515" t="s">
        <v>488</v>
      </c>
      <c r="D7" s="232"/>
    </row>
    <row r="8" spans="1:3" ht="12.75" thickBot="1">
      <c r="A8" s="556">
        <v>1</v>
      </c>
      <c r="B8" s="557">
        <v>2</v>
      </c>
      <c r="C8" s="558">
        <v>3</v>
      </c>
    </row>
    <row r="9" spans="1:3" ht="11.25" customHeight="1" thickBot="1">
      <c r="A9" s="516"/>
      <c r="B9" s="519"/>
      <c r="C9" s="517"/>
    </row>
    <row r="10" spans="1:6" ht="24.75" customHeight="1" thickBot="1">
      <c r="A10" s="518" t="s">
        <v>18</v>
      </c>
      <c r="B10" s="254" t="s">
        <v>19</v>
      </c>
      <c r="C10" s="252">
        <f>SUM(C11)</f>
        <v>5550000</v>
      </c>
      <c r="F10" s="832"/>
    </row>
    <row r="11" spans="1:3" ht="24.75" customHeight="1" thickBot="1">
      <c r="A11" s="233" t="s">
        <v>639</v>
      </c>
      <c r="B11" s="234" t="s">
        <v>57</v>
      </c>
      <c r="C11" s="235">
        <f>5500000+50000</f>
        <v>5550000</v>
      </c>
    </row>
    <row r="12" spans="1:5" ht="24.75" customHeight="1" thickBot="1">
      <c r="A12" s="253" t="s">
        <v>20</v>
      </c>
      <c r="B12" s="254" t="s">
        <v>21</v>
      </c>
      <c r="C12" s="255">
        <f>SUM(C13:C18)</f>
        <v>13935000</v>
      </c>
      <c r="E12" s="832"/>
    </row>
    <row r="13" spans="1:3" ht="24.75" customHeight="1">
      <c r="A13" s="236" t="s">
        <v>639</v>
      </c>
      <c r="B13" s="237" t="s">
        <v>8</v>
      </c>
      <c r="C13" s="1042">
        <v>10000</v>
      </c>
    </row>
    <row r="14" spans="1:3" ht="24.75" customHeight="1">
      <c r="A14" s="238" t="s">
        <v>640</v>
      </c>
      <c r="B14" s="239" t="s">
        <v>11</v>
      </c>
      <c r="C14" s="246">
        <v>50000</v>
      </c>
    </row>
    <row r="15" spans="1:3" ht="24.75" customHeight="1">
      <c r="A15" s="238" t="s">
        <v>641</v>
      </c>
      <c r="B15" s="239" t="s">
        <v>12</v>
      </c>
      <c r="C15" s="246">
        <v>510000</v>
      </c>
    </row>
    <row r="16" spans="1:3" ht="24.75" customHeight="1">
      <c r="A16" s="238" t="s">
        <v>642</v>
      </c>
      <c r="B16" s="239" t="s">
        <v>13</v>
      </c>
      <c r="C16" s="246">
        <v>12700000</v>
      </c>
    </row>
    <row r="17" spans="1:3" ht="24.75" customHeight="1">
      <c r="A17" s="238" t="s">
        <v>643</v>
      </c>
      <c r="B17" s="239" t="s">
        <v>15</v>
      </c>
      <c r="C17" s="246">
        <v>615000</v>
      </c>
    </row>
    <row r="18" spans="1:3" ht="24.75" customHeight="1" thickBot="1">
      <c r="A18" s="238" t="s">
        <v>644</v>
      </c>
      <c r="B18" s="241" t="s">
        <v>16</v>
      </c>
      <c r="C18" s="246">
        <v>50000</v>
      </c>
    </row>
    <row r="19" spans="1:3" ht="24.75" customHeight="1" hidden="1">
      <c r="A19" s="238" t="s">
        <v>645</v>
      </c>
      <c r="B19" s="242"/>
      <c r="C19" s="243"/>
    </row>
    <row r="20" spans="1:3" ht="24.75" customHeight="1" hidden="1">
      <c r="A20" s="238" t="s">
        <v>644</v>
      </c>
      <c r="B20" s="241" t="s">
        <v>16</v>
      </c>
      <c r="C20" s="1043">
        <v>50000</v>
      </c>
    </row>
    <row r="21" spans="1:3" ht="24.75" customHeight="1" thickBot="1">
      <c r="A21" s="256" t="s">
        <v>22</v>
      </c>
      <c r="B21" s="257" t="s">
        <v>23</v>
      </c>
      <c r="C21" s="259">
        <f>SUM(C24+C27+C30+C33+C36+C39+C43+C46+C49+C52)</f>
        <v>19485000</v>
      </c>
    </row>
    <row r="22" spans="1:5" ht="24.75" customHeight="1">
      <c r="A22" s="1513"/>
      <c r="B22" s="445" t="s">
        <v>230</v>
      </c>
      <c r="C22" s="444">
        <f>SUM(C25+C28+C31+C34+C37+C40+C44+C47+C50+C53)</f>
        <v>13605514</v>
      </c>
      <c r="E22" s="97"/>
    </row>
    <row r="23" spans="1:3" ht="24.75" customHeight="1" thickBot="1">
      <c r="A23" s="1514"/>
      <c r="B23" s="446" t="s">
        <v>229</v>
      </c>
      <c r="C23" s="447">
        <f>SUM(C26+C29+C32+C35+C38+C41+C45+C48+C51+C54)</f>
        <v>5879486</v>
      </c>
    </row>
    <row r="24" spans="1:4" ht="24.75" customHeight="1">
      <c r="A24" s="236" t="s">
        <v>639</v>
      </c>
      <c r="B24" s="244" t="s">
        <v>402</v>
      </c>
      <c r="C24" s="436">
        <f>SUM(C25+C26)</f>
        <v>134350</v>
      </c>
      <c r="D24" s="97"/>
    </row>
    <row r="25" spans="1:4" ht="24.75" customHeight="1">
      <c r="A25" s="373"/>
      <c r="B25" s="437" t="s">
        <v>230</v>
      </c>
      <c r="C25" s="240">
        <v>0</v>
      </c>
      <c r="D25" s="97"/>
    </row>
    <row r="26" spans="1:3" ht="24.75" customHeight="1">
      <c r="A26" s="236"/>
      <c r="B26" s="437" t="s">
        <v>229</v>
      </c>
      <c r="C26" s="240">
        <v>134350</v>
      </c>
    </row>
    <row r="27" spans="1:3" ht="32.25" customHeight="1">
      <c r="A27" s="236" t="s">
        <v>640</v>
      </c>
      <c r="B27" s="245" t="s">
        <v>585</v>
      </c>
      <c r="C27" s="251">
        <f>SUM(C28+C29)</f>
        <v>1505136</v>
      </c>
    </row>
    <row r="28" spans="1:3" ht="24.75" customHeight="1">
      <c r="A28" s="373"/>
      <c r="B28" s="437" t="s">
        <v>230</v>
      </c>
      <c r="C28" s="246">
        <v>250000</v>
      </c>
    </row>
    <row r="29" spans="1:3" ht="24.75" customHeight="1">
      <c r="A29" s="236"/>
      <c r="B29" s="437" t="s">
        <v>229</v>
      </c>
      <c r="C29" s="246">
        <v>1255136</v>
      </c>
    </row>
    <row r="30" spans="1:3" ht="24.75" customHeight="1">
      <c r="A30" s="233" t="s">
        <v>641</v>
      </c>
      <c r="B30" s="247" t="s">
        <v>417</v>
      </c>
      <c r="C30" s="251">
        <f>SUM(C31+C32)</f>
        <v>50000</v>
      </c>
    </row>
    <row r="31" spans="1:3" ht="24.75" customHeight="1">
      <c r="A31" s="373"/>
      <c r="B31" s="438" t="s">
        <v>230</v>
      </c>
      <c r="C31" s="240">
        <f>200000-150000</f>
        <v>50000</v>
      </c>
    </row>
    <row r="32" spans="1:3" ht="24.75" customHeight="1">
      <c r="A32" s="236"/>
      <c r="B32" s="437" t="s">
        <v>229</v>
      </c>
      <c r="C32" s="240">
        <v>0</v>
      </c>
    </row>
    <row r="33" spans="1:3" ht="24.75" customHeight="1">
      <c r="A33" s="238" t="s">
        <v>642</v>
      </c>
      <c r="B33" s="247" t="s">
        <v>489</v>
      </c>
      <c r="C33" s="251">
        <f>SUM(C34+C35)</f>
        <v>941500</v>
      </c>
    </row>
    <row r="34" spans="1:3" ht="24.75" customHeight="1">
      <c r="A34" s="439"/>
      <c r="B34" s="438" t="s">
        <v>230</v>
      </c>
      <c r="C34" s="240">
        <f>971500-30000</f>
        <v>941500</v>
      </c>
    </row>
    <row r="35" spans="1:3" ht="24.75" customHeight="1">
      <c r="A35" s="440"/>
      <c r="B35" s="437" t="s">
        <v>229</v>
      </c>
      <c r="C35" s="246">
        <v>0</v>
      </c>
    </row>
    <row r="36" spans="1:3" ht="24.75" customHeight="1">
      <c r="A36" s="238" t="s">
        <v>643</v>
      </c>
      <c r="B36" s="249" t="s">
        <v>5</v>
      </c>
      <c r="C36" s="251">
        <f>SUM(C37+C38)</f>
        <v>4340000</v>
      </c>
    </row>
    <row r="37" spans="1:3" ht="24.75" customHeight="1">
      <c r="A37" s="1506"/>
      <c r="B37" s="438" t="s">
        <v>230</v>
      </c>
      <c r="C37" s="240">
        <v>100000</v>
      </c>
    </row>
    <row r="38" spans="1:3" ht="24.75" customHeight="1">
      <c r="A38" s="1507"/>
      <c r="B38" s="437" t="s">
        <v>229</v>
      </c>
      <c r="C38" s="240">
        <f>3950000+150000+100000+40000</f>
        <v>4240000</v>
      </c>
    </row>
    <row r="39" spans="1:3" ht="24.75" customHeight="1">
      <c r="A39" s="238" t="s">
        <v>644</v>
      </c>
      <c r="B39" s="248" t="s">
        <v>6</v>
      </c>
      <c r="C39" s="441">
        <f>SUM(C40+C41)</f>
        <v>394000</v>
      </c>
    </row>
    <row r="40" spans="1:3" ht="24.75" customHeight="1">
      <c r="A40" s="238"/>
      <c r="B40" s="438" t="s">
        <v>230</v>
      </c>
      <c r="C40" s="240">
        <f>294000-100000</f>
        <v>194000</v>
      </c>
    </row>
    <row r="41" spans="1:3" ht="24.75" customHeight="1" thickBot="1">
      <c r="A41" s="1047"/>
      <c r="B41" s="1048" t="s">
        <v>229</v>
      </c>
      <c r="C41" s="559">
        <v>200000</v>
      </c>
    </row>
    <row r="42" spans="1:3" ht="12.75" thickBot="1">
      <c r="A42" s="556">
        <v>1</v>
      </c>
      <c r="B42" s="557">
        <v>2</v>
      </c>
      <c r="C42" s="558">
        <v>3</v>
      </c>
    </row>
    <row r="43" spans="1:3" ht="34.5" customHeight="1">
      <c r="A43" s="238" t="s">
        <v>645</v>
      </c>
      <c r="B43" s="250" t="s">
        <v>658</v>
      </c>
      <c r="C43" s="441">
        <f>SUM(C44+C45)</f>
        <v>189000</v>
      </c>
    </row>
    <row r="44" spans="1:3" ht="24.75" customHeight="1">
      <c r="A44" s="238"/>
      <c r="B44" s="438" t="s">
        <v>230</v>
      </c>
      <c r="C44" s="240">
        <v>139000</v>
      </c>
    </row>
    <row r="45" spans="1:3" ht="24.75" customHeight="1">
      <c r="A45" s="238"/>
      <c r="B45" s="437" t="s">
        <v>229</v>
      </c>
      <c r="C45" s="240">
        <v>50000</v>
      </c>
    </row>
    <row r="46" spans="1:3" ht="24.75" customHeight="1">
      <c r="A46" s="238" t="s">
        <v>646</v>
      </c>
      <c r="B46" s="1044" t="s">
        <v>7</v>
      </c>
      <c r="C46" s="441">
        <f>SUM(C47+C48)</f>
        <v>230000</v>
      </c>
    </row>
    <row r="47" spans="1:3" ht="24.75" customHeight="1">
      <c r="A47" s="238"/>
      <c r="B47" s="438" t="s">
        <v>230</v>
      </c>
      <c r="C47" s="240">
        <v>230000</v>
      </c>
    </row>
    <row r="48" spans="1:3" ht="24.75" customHeight="1">
      <c r="A48" s="238"/>
      <c r="B48" s="437" t="s">
        <v>229</v>
      </c>
      <c r="C48" s="240">
        <v>0</v>
      </c>
    </row>
    <row r="49" spans="1:3" ht="24.75" customHeight="1">
      <c r="A49" s="238" t="s">
        <v>647</v>
      </c>
      <c r="B49" s="1045" t="s">
        <v>578</v>
      </c>
      <c r="C49" s="441">
        <f>SUM(C50+C51)</f>
        <v>86000</v>
      </c>
    </row>
    <row r="50" spans="1:3" ht="24.75" customHeight="1">
      <c r="A50" s="238"/>
      <c r="B50" s="438" t="s">
        <v>230</v>
      </c>
      <c r="C50" s="240">
        <f>56000+30000</f>
        <v>86000</v>
      </c>
    </row>
    <row r="51" spans="1:3" ht="24.75" customHeight="1">
      <c r="A51" s="238"/>
      <c r="B51" s="437" t="s">
        <v>229</v>
      </c>
      <c r="C51" s="240">
        <v>0</v>
      </c>
    </row>
    <row r="52" spans="1:3" ht="24.75" customHeight="1">
      <c r="A52" s="238" t="s">
        <v>648</v>
      </c>
      <c r="B52" s="638" t="s">
        <v>570</v>
      </c>
      <c r="C52" s="441">
        <f>SUM(C53+C54)</f>
        <v>11615014</v>
      </c>
    </row>
    <row r="53" spans="1:3" ht="27.75" customHeight="1">
      <c r="A53" s="238"/>
      <c r="B53" s="438" t="s">
        <v>230</v>
      </c>
      <c r="C53" s="240">
        <v>11615014</v>
      </c>
    </row>
    <row r="54" spans="1:3" ht="24.75" customHeight="1">
      <c r="A54" s="238"/>
      <c r="B54" s="437" t="s">
        <v>229</v>
      </c>
      <c r="C54" s="240">
        <v>0</v>
      </c>
    </row>
    <row r="55" spans="1:3" ht="24.75" customHeight="1" thickBot="1">
      <c r="A55" s="1046" t="s">
        <v>349</v>
      </c>
      <c r="B55" s="560" t="s">
        <v>189</v>
      </c>
      <c r="C55" s="561">
        <f>SUM(C56)</f>
        <v>0</v>
      </c>
    </row>
    <row r="56" spans="1:3" ht="24.75" customHeight="1" thickBot="1">
      <c r="A56" s="442" t="s">
        <v>639</v>
      </c>
      <c r="B56" s="443" t="s">
        <v>490</v>
      </c>
      <c r="C56" s="632">
        <v>0</v>
      </c>
    </row>
  </sheetData>
  <mergeCells count="5">
    <mergeCell ref="E3:G3"/>
    <mergeCell ref="A37:A38"/>
    <mergeCell ref="A3:C3"/>
    <mergeCell ref="A6:C6"/>
    <mergeCell ref="A22:A23"/>
  </mergeCells>
  <printOptions horizontalCentered="1"/>
  <pageMargins left="0.7874015748031497" right="0.3937007874015748" top="0.7874015748031497" bottom="0.3937007874015748" header="0.5905511811023623" footer="0.5118110236220472"/>
  <pageSetup cellComments="asDisplayed" fitToHeight="2" horizontalDpi="600" verticalDpi="600" orientation="portrait" paperSize="9" scale="79" r:id="rId1"/>
  <rowBreaks count="1" manualBreakCount="1">
    <brk id="41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Q241"/>
  <sheetViews>
    <sheetView showGridLines="0" view="pageBreakPreview" zoomScale="90" zoomScaleNormal="90" zoomScaleSheetLayoutView="90" workbookViewId="0" topLeftCell="A1">
      <selection activeCell="B1" sqref="B1"/>
    </sheetView>
  </sheetViews>
  <sheetFormatPr defaultColWidth="9.00390625" defaultRowHeight="12"/>
  <cols>
    <col min="1" max="1" width="5.875" style="1260" customWidth="1"/>
    <col min="2" max="3" width="7.75390625" style="1260" customWidth="1"/>
    <col min="4" max="4" width="70.75390625" style="1261" customWidth="1"/>
    <col min="5" max="6" width="7.75390625" style="1262" customWidth="1"/>
    <col min="7" max="7" width="14.875" style="1262" customWidth="1"/>
    <col min="8" max="8" width="17.875" style="1262" customWidth="1"/>
    <col min="9" max="9" width="13.75390625" style="1259" customWidth="1"/>
    <col min="10" max="11" width="13.75390625" style="1262" customWidth="1"/>
    <col min="12" max="13" width="13.75390625" style="1260" customWidth="1"/>
    <col min="14" max="15" width="13.75390625" style="1209" customWidth="1"/>
    <col min="16" max="16" width="14.125" style="1263" customWidth="1"/>
    <col min="17" max="17" width="9.875" style="1209" bestFit="1" customWidth="1"/>
    <col min="18" max="16384" width="9.00390625" style="1209" customWidth="1"/>
  </cols>
  <sheetData>
    <row r="1" spans="1:16" s="10" customFormat="1" ht="55.5" customHeight="1">
      <c r="A1" s="1254"/>
      <c r="B1" s="1255"/>
      <c r="C1" s="1256"/>
      <c r="D1" s="1256"/>
      <c r="O1" s="1515" t="s">
        <v>66</v>
      </c>
      <c r="P1" s="1515"/>
    </row>
    <row r="2" spans="1:16" s="1257" customFormat="1" ht="26.25">
      <c r="A2" s="1556" t="s">
        <v>491</v>
      </c>
      <c r="B2" s="1556"/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6"/>
      <c r="O2" s="1556"/>
      <c r="P2" s="1557"/>
    </row>
    <row r="3" spans="1:16" s="1257" customFormat="1" ht="15.75" customHeight="1" thickBot="1">
      <c r="A3" s="1558"/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  <c r="N3" s="1558"/>
      <c r="O3" s="1558"/>
      <c r="P3" s="1559"/>
    </row>
    <row r="4" spans="1:16" s="10" customFormat="1" ht="15.75" customHeight="1">
      <c r="A4" s="1537" t="s">
        <v>595</v>
      </c>
      <c r="B4" s="1527" t="s">
        <v>375</v>
      </c>
      <c r="C4" s="1527" t="s">
        <v>659</v>
      </c>
      <c r="D4" s="1527" t="s">
        <v>433</v>
      </c>
      <c r="E4" s="1549" t="s">
        <v>53</v>
      </c>
      <c r="F4" s="1550"/>
      <c r="G4" s="1527" t="s">
        <v>660</v>
      </c>
      <c r="H4" s="1549" t="s">
        <v>71</v>
      </c>
      <c r="I4" s="1561" t="s">
        <v>434</v>
      </c>
      <c r="J4" s="1562"/>
      <c r="K4" s="1562"/>
      <c r="L4" s="1562"/>
      <c r="M4" s="1562"/>
      <c r="N4" s="1562"/>
      <c r="O4" s="1562"/>
      <c r="P4" s="1563" t="s">
        <v>80</v>
      </c>
    </row>
    <row r="5" spans="1:16" s="10" customFormat="1" ht="31.5" customHeight="1">
      <c r="A5" s="1538"/>
      <c r="B5" s="1528"/>
      <c r="C5" s="1528"/>
      <c r="D5" s="1528"/>
      <c r="E5" s="1551"/>
      <c r="F5" s="1552"/>
      <c r="G5" s="1528"/>
      <c r="H5" s="1528"/>
      <c r="I5" s="1528" t="s">
        <v>492</v>
      </c>
      <c r="J5" s="1528" t="s">
        <v>493</v>
      </c>
      <c r="K5" s="1551" t="s">
        <v>81</v>
      </c>
      <c r="L5" s="1566"/>
      <c r="M5" s="1566"/>
      <c r="N5" s="1566"/>
      <c r="O5" s="1566"/>
      <c r="P5" s="1564"/>
    </row>
    <row r="6" spans="1:16" s="10" customFormat="1" ht="16.5" thickBot="1">
      <c r="A6" s="1539"/>
      <c r="B6" s="1529"/>
      <c r="C6" s="1529"/>
      <c r="D6" s="1529"/>
      <c r="E6" s="1049" t="s">
        <v>435</v>
      </c>
      <c r="F6" s="1049" t="s">
        <v>436</v>
      </c>
      <c r="G6" s="1529"/>
      <c r="H6" s="1560"/>
      <c r="I6" s="1560"/>
      <c r="J6" s="1560"/>
      <c r="K6" s="1050">
        <v>2010</v>
      </c>
      <c r="L6" s="1051">
        <v>2011</v>
      </c>
      <c r="M6" s="1051">
        <v>2012</v>
      </c>
      <c r="N6" s="1051">
        <v>2013</v>
      </c>
      <c r="O6" s="1052" t="s">
        <v>494</v>
      </c>
      <c r="P6" s="1565"/>
    </row>
    <row r="7" spans="1:16" s="10" customFormat="1" ht="15.75" thickBot="1">
      <c r="A7" s="1053">
        <v>1</v>
      </c>
      <c r="B7" s="1054">
        <v>2</v>
      </c>
      <c r="C7" s="1054">
        <v>3</v>
      </c>
      <c r="D7" s="1054">
        <v>4</v>
      </c>
      <c r="E7" s="1055">
        <v>5</v>
      </c>
      <c r="F7" s="1055">
        <v>6</v>
      </c>
      <c r="G7" s="1055">
        <v>7</v>
      </c>
      <c r="H7" s="1056">
        <v>8</v>
      </c>
      <c r="I7" s="1055">
        <v>9</v>
      </c>
      <c r="J7" s="1054">
        <v>10</v>
      </c>
      <c r="K7" s="1054">
        <v>11</v>
      </c>
      <c r="L7" s="1054">
        <v>12</v>
      </c>
      <c r="M7" s="1054">
        <v>13</v>
      </c>
      <c r="N7" s="1054">
        <v>14</v>
      </c>
      <c r="O7" s="1057">
        <v>15</v>
      </c>
      <c r="P7" s="1058">
        <v>16</v>
      </c>
    </row>
    <row r="8" spans="1:16" s="10" customFormat="1" ht="17.25" customHeight="1" thickBot="1" thickTop="1">
      <c r="A8" s="1530" t="s">
        <v>72</v>
      </c>
      <c r="B8" s="1531"/>
      <c r="C8" s="1531"/>
      <c r="D8" s="1531"/>
      <c r="E8" s="1531"/>
      <c r="F8" s="1531"/>
      <c r="G8" s="1531"/>
      <c r="H8" s="1059">
        <f>SUM(I8:O8)</f>
        <v>400000</v>
      </c>
      <c r="I8" s="1060">
        <f>SUM(I10)</f>
        <v>100000</v>
      </c>
      <c r="J8" s="1060">
        <f aca="true" t="shared" si="0" ref="J8:O8">SUM(J10)</f>
        <v>300000</v>
      </c>
      <c r="K8" s="1060">
        <f t="shared" si="0"/>
        <v>0</v>
      </c>
      <c r="L8" s="1060">
        <f t="shared" si="0"/>
        <v>0</v>
      </c>
      <c r="M8" s="1060">
        <f t="shared" si="0"/>
        <v>0</v>
      </c>
      <c r="N8" s="1060">
        <f t="shared" si="0"/>
        <v>0</v>
      </c>
      <c r="O8" s="1060">
        <f t="shared" si="0"/>
        <v>0</v>
      </c>
      <c r="P8" s="1061"/>
    </row>
    <row r="9" spans="1:16" s="10" customFormat="1" ht="15.75">
      <c r="A9" s="1516">
        <v>1</v>
      </c>
      <c r="B9" s="1519">
        <v>400</v>
      </c>
      <c r="C9" s="1519">
        <v>40002</v>
      </c>
      <c r="D9" s="1063" t="s">
        <v>73</v>
      </c>
      <c r="E9" s="1519">
        <v>2008</v>
      </c>
      <c r="F9" s="1519">
        <v>2009</v>
      </c>
      <c r="G9" s="1524" t="s">
        <v>447</v>
      </c>
      <c r="H9" s="1065"/>
      <c r="I9" s="1066"/>
      <c r="J9" s="1066"/>
      <c r="K9" s="1066"/>
      <c r="L9" s="1066"/>
      <c r="M9" s="1067"/>
      <c r="N9" s="1067"/>
      <c r="O9" s="1068"/>
      <c r="P9" s="1069"/>
    </row>
    <row r="10" spans="1:16" s="10" customFormat="1" ht="15.75">
      <c r="A10" s="1517"/>
      <c r="B10" s="1520"/>
      <c r="C10" s="1520"/>
      <c r="D10" s="1070" t="s">
        <v>84</v>
      </c>
      <c r="E10" s="1520"/>
      <c r="F10" s="1520"/>
      <c r="G10" s="1532"/>
      <c r="H10" s="1071">
        <f>SUM(I10:O10)</f>
        <v>400000</v>
      </c>
      <c r="I10" s="1072">
        <f>SUM(I11:I11)</f>
        <v>100000</v>
      </c>
      <c r="J10" s="1072">
        <f>SUM(J11:J11)</f>
        <v>300000</v>
      </c>
      <c r="K10" s="1072"/>
      <c r="L10" s="1072"/>
      <c r="M10" s="1072"/>
      <c r="N10" s="1073"/>
      <c r="O10" s="1074"/>
      <c r="P10" s="1069"/>
    </row>
    <row r="11" spans="1:16" s="10" customFormat="1" ht="15.75" thickBot="1">
      <c r="A11" s="1517"/>
      <c r="B11" s="1520"/>
      <c r="C11" s="1520"/>
      <c r="D11" s="1075" t="s">
        <v>14</v>
      </c>
      <c r="E11" s="1520"/>
      <c r="F11" s="1520"/>
      <c r="G11" s="1532"/>
      <c r="H11" s="1076">
        <f>SUM(I11:O11)</f>
        <v>400000</v>
      </c>
      <c r="I11" s="1077">
        <v>100000</v>
      </c>
      <c r="J11" s="1077">
        <v>300000</v>
      </c>
      <c r="K11" s="1077"/>
      <c r="L11" s="1078"/>
      <c r="M11" s="1078"/>
      <c r="N11" s="1073"/>
      <c r="O11" s="1074"/>
      <c r="P11" s="1069"/>
    </row>
    <row r="12" spans="1:16" s="10" customFormat="1" ht="17.25" thickBot="1" thickTop="1">
      <c r="A12" s="1543" t="s">
        <v>437</v>
      </c>
      <c r="B12" s="1531"/>
      <c r="C12" s="1531"/>
      <c r="D12" s="1531"/>
      <c r="E12" s="1531"/>
      <c r="F12" s="1531"/>
      <c r="G12" s="1531"/>
      <c r="H12" s="1059">
        <f>SUM(I12:O12)</f>
        <v>10266062</v>
      </c>
      <c r="I12" s="1079">
        <f aca="true" t="shared" si="1" ref="I12:O12">SUM(I14,I17,I21)</f>
        <v>351062</v>
      </c>
      <c r="J12" s="1079">
        <f t="shared" si="1"/>
        <v>7020000</v>
      </c>
      <c r="K12" s="1079">
        <f t="shared" si="1"/>
        <v>1320000</v>
      </c>
      <c r="L12" s="1079">
        <f t="shared" si="1"/>
        <v>787500</v>
      </c>
      <c r="M12" s="1079">
        <f t="shared" si="1"/>
        <v>787500</v>
      </c>
      <c r="N12" s="1079">
        <f t="shared" si="1"/>
        <v>0</v>
      </c>
      <c r="O12" s="1079">
        <f t="shared" si="1"/>
        <v>0</v>
      </c>
      <c r="P12" s="1080"/>
    </row>
    <row r="13" spans="1:16" s="1258" customFormat="1" ht="31.5">
      <c r="A13" s="1567">
        <v>2</v>
      </c>
      <c r="B13" s="1533">
        <v>600</v>
      </c>
      <c r="C13" s="1570">
        <v>60004</v>
      </c>
      <c r="D13" s="1081" t="s">
        <v>495</v>
      </c>
      <c r="E13" s="1533">
        <v>2009</v>
      </c>
      <c r="F13" s="1533">
        <v>2012</v>
      </c>
      <c r="G13" s="1533" t="s">
        <v>496</v>
      </c>
      <c r="H13" s="1082"/>
      <c r="I13" s="1083"/>
      <c r="J13" s="1083"/>
      <c r="K13" s="1083"/>
      <c r="L13" s="1083"/>
      <c r="M13" s="1083"/>
      <c r="N13" s="1084"/>
      <c r="O13" s="1085"/>
      <c r="P13" s="1086"/>
    </row>
    <row r="14" spans="1:16" s="1258" customFormat="1" ht="15.75">
      <c r="A14" s="1568"/>
      <c r="B14" s="1520"/>
      <c r="C14" s="1571"/>
      <c r="D14" s="1087" t="s">
        <v>84</v>
      </c>
      <c r="E14" s="1554"/>
      <c r="F14" s="1554"/>
      <c r="G14" s="1520"/>
      <c r="H14" s="1071">
        <f>SUM(I14:O14)</f>
        <v>1875000</v>
      </c>
      <c r="I14" s="1088"/>
      <c r="J14" s="1089">
        <f>SUM(J15)</f>
        <v>300000</v>
      </c>
      <c r="K14" s="1089"/>
      <c r="L14" s="1089">
        <f>SUM(L15)</f>
        <v>787500</v>
      </c>
      <c r="M14" s="1089">
        <f>SUM(M15)</f>
        <v>787500</v>
      </c>
      <c r="N14" s="1090"/>
      <c r="O14" s="1091"/>
      <c r="P14" s="1086"/>
    </row>
    <row r="15" spans="1:16" s="1258" customFormat="1" ht="16.5" thickBot="1">
      <c r="A15" s="1569"/>
      <c r="B15" s="1521"/>
      <c r="C15" s="1571"/>
      <c r="D15" s="1092" t="s">
        <v>14</v>
      </c>
      <c r="E15" s="1555"/>
      <c r="F15" s="1555"/>
      <c r="G15" s="1521"/>
      <c r="H15" s="1093">
        <f>SUM(I15:O15)</f>
        <v>1875000</v>
      </c>
      <c r="I15" s="1088"/>
      <c r="J15" s="1094">
        <v>300000</v>
      </c>
      <c r="K15" s="1094"/>
      <c r="L15" s="1094">
        <f>625000+162500</f>
        <v>787500</v>
      </c>
      <c r="M15" s="1094">
        <f>625000+162500</f>
        <v>787500</v>
      </c>
      <c r="N15" s="1095"/>
      <c r="O15" s="1091"/>
      <c r="P15" s="1086"/>
    </row>
    <row r="16" spans="1:16" s="1258" customFormat="1" ht="15.75">
      <c r="A16" s="1516">
        <v>3</v>
      </c>
      <c r="B16" s="1519">
        <v>600</v>
      </c>
      <c r="C16" s="1519">
        <v>60013</v>
      </c>
      <c r="D16" s="1063" t="s">
        <v>74</v>
      </c>
      <c r="E16" s="1519">
        <v>2006</v>
      </c>
      <c r="F16" s="1519">
        <v>2010</v>
      </c>
      <c r="G16" s="1524" t="s">
        <v>662</v>
      </c>
      <c r="H16" s="1096"/>
      <c r="I16" s="1097"/>
      <c r="J16" s="1066"/>
      <c r="K16" s="1066"/>
      <c r="L16" s="1067"/>
      <c r="M16" s="1067"/>
      <c r="N16" s="1067"/>
      <c r="O16" s="1068"/>
      <c r="P16" s="1098"/>
    </row>
    <row r="17" spans="1:16" s="1258" customFormat="1" ht="15.75">
      <c r="A17" s="1517"/>
      <c r="B17" s="1520"/>
      <c r="C17" s="1520"/>
      <c r="D17" s="1070" t="s">
        <v>84</v>
      </c>
      <c r="E17" s="1520"/>
      <c r="F17" s="1520"/>
      <c r="G17" s="1532"/>
      <c r="H17" s="1099">
        <f>SUM(I17:O17)</f>
        <v>2909962</v>
      </c>
      <c r="I17" s="1099">
        <f>SUM(I18:I19)</f>
        <v>269962</v>
      </c>
      <c r="J17" s="1099">
        <f>SUM(J18:J19)</f>
        <v>1320000</v>
      </c>
      <c r="K17" s="1099">
        <f>SUM(K18:K19)</f>
        <v>1320000</v>
      </c>
      <c r="L17" s="1099"/>
      <c r="M17" s="1078"/>
      <c r="N17" s="1078"/>
      <c r="O17" s="1100"/>
      <c r="P17" s="1069"/>
    </row>
    <row r="18" spans="1:16" s="10" customFormat="1" ht="15">
      <c r="A18" s="1517"/>
      <c r="B18" s="1520"/>
      <c r="C18" s="1520"/>
      <c r="D18" s="1075" t="s">
        <v>14</v>
      </c>
      <c r="E18" s="1520"/>
      <c r="F18" s="1520"/>
      <c r="G18" s="1532"/>
      <c r="H18" s="1101">
        <f>SUM(I18:O18)</f>
        <v>665962</v>
      </c>
      <c r="I18" s="1102">
        <v>269962</v>
      </c>
      <c r="J18" s="1077">
        <v>198000</v>
      </c>
      <c r="K18" s="1078">
        <v>198000</v>
      </c>
      <c r="L18" s="1078"/>
      <c r="M18" s="1078"/>
      <c r="N18" s="1078"/>
      <c r="O18" s="1100"/>
      <c r="P18" s="1103"/>
    </row>
    <row r="19" spans="1:16" s="10" customFormat="1" ht="15.75" thickBot="1">
      <c r="A19" s="1518"/>
      <c r="B19" s="1521"/>
      <c r="C19" s="1521"/>
      <c r="D19" s="1104" t="s">
        <v>136</v>
      </c>
      <c r="E19" s="1521"/>
      <c r="F19" s="1521"/>
      <c r="G19" s="1572"/>
      <c r="H19" s="1101">
        <f>SUM(I19:O19)</f>
        <v>2244000</v>
      </c>
      <c r="I19" s="1105"/>
      <c r="J19" s="1106">
        <v>1122000</v>
      </c>
      <c r="K19" s="1107">
        <v>1122000</v>
      </c>
      <c r="L19" s="1107"/>
      <c r="M19" s="1107"/>
      <c r="N19" s="1107"/>
      <c r="O19" s="1108"/>
      <c r="P19" s="1109"/>
    </row>
    <row r="20" spans="1:16" s="10" customFormat="1" ht="15.75">
      <c r="A20" s="1516">
        <v>4</v>
      </c>
      <c r="B20" s="1519">
        <v>600</v>
      </c>
      <c r="C20" s="1575">
        <v>60014</v>
      </c>
      <c r="D20" s="1063" t="s">
        <v>438</v>
      </c>
      <c r="E20" s="1519">
        <v>2003</v>
      </c>
      <c r="F20" s="1519">
        <v>2009</v>
      </c>
      <c r="G20" s="1524" t="s">
        <v>662</v>
      </c>
      <c r="H20" s="1110"/>
      <c r="I20" s="1097"/>
      <c r="J20" s="1066"/>
      <c r="K20" s="1066"/>
      <c r="L20" s="1067"/>
      <c r="M20" s="1067"/>
      <c r="N20" s="1067"/>
      <c r="O20" s="1068"/>
      <c r="P20" s="1069"/>
    </row>
    <row r="21" spans="1:16" s="10" customFormat="1" ht="15.75">
      <c r="A21" s="1517"/>
      <c r="B21" s="1520"/>
      <c r="C21" s="1576"/>
      <c r="D21" s="1070" t="s">
        <v>84</v>
      </c>
      <c r="E21" s="1520"/>
      <c r="F21" s="1520"/>
      <c r="G21" s="1532"/>
      <c r="H21" s="1071">
        <f>SUM(I21:O21)</f>
        <v>5481100</v>
      </c>
      <c r="I21" s="1072">
        <f>SUM(I22:I23)</f>
        <v>81100</v>
      </c>
      <c r="J21" s="1072">
        <f>SUM(J22:J23)</f>
        <v>5400000</v>
      </c>
      <c r="K21" s="1072"/>
      <c r="L21" s="1072"/>
      <c r="M21" s="1078"/>
      <c r="N21" s="1078"/>
      <c r="O21" s="1100"/>
      <c r="P21" s="1069"/>
    </row>
    <row r="22" spans="1:16" s="10" customFormat="1" ht="15">
      <c r="A22" s="1517"/>
      <c r="B22" s="1520"/>
      <c r="C22" s="1576"/>
      <c r="D22" s="1111" t="s">
        <v>14</v>
      </c>
      <c r="E22" s="1520"/>
      <c r="F22" s="1520"/>
      <c r="G22" s="1532"/>
      <c r="H22" s="1101">
        <f>SUM(I22:O22)</f>
        <v>1431100</v>
      </c>
      <c r="I22" s="1102">
        <v>81100</v>
      </c>
      <c r="J22" s="1077">
        <v>1350000</v>
      </c>
      <c r="K22" s="1078"/>
      <c r="L22" s="1078"/>
      <c r="M22" s="1078"/>
      <c r="N22" s="1078"/>
      <c r="O22" s="1100"/>
      <c r="P22" s="1069"/>
    </row>
    <row r="23" spans="1:16" s="10" customFormat="1" ht="15.75" thickBot="1">
      <c r="A23" s="1518"/>
      <c r="B23" s="1521"/>
      <c r="C23" s="1577"/>
      <c r="D23" s="1112" t="s">
        <v>543</v>
      </c>
      <c r="E23" s="1521"/>
      <c r="F23" s="1521"/>
      <c r="G23" s="1572"/>
      <c r="H23" s="1101">
        <f>SUM(I23:O23)</f>
        <v>4050000</v>
      </c>
      <c r="I23" s="1105"/>
      <c r="J23" s="1106">
        <v>4050000</v>
      </c>
      <c r="K23" s="1107"/>
      <c r="L23" s="1107"/>
      <c r="M23" s="1107"/>
      <c r="N23" s="1107"/>
      <c r="O23" s="1108"/>
      <c r="P23" s="1069"/>
    </row>
    <row r="24" spans="1:16" s="10" customFormat="1" ht="17.25" thickBot="1" thickTop="1">
      <c r="A24" s="1543" t="s">
        <v>82</v>
      </c>
      <c r="B24" s="1531"/>
      <c r="C24" s="1531"/>
      <c r="D24" s="1531"/>
      <c r="E24" s="1531"/>
      <c r="F24" s="1531"/>
      <c r="G24" s="1531"/>
      <c r="H24" s="1059">
        <f>SUM(I24:O24)</f>
        <v>9220000</v>
      </c>
      <c r="I24" s="1113">
        <f>SUM(I26)</f>
        <v>70000</v>
      </c>
      <c r="J24" s="1113">
        <f aca="true" t="shared" si="2" ref="J24:O24">SUM(J26)</f>
        <v>150000</v>
      </c>
      <c r="K24" s="1113">
        <f t="shared" si="2"/>
        <v>4000000</v>
      </c>
      <c r="L24" s="1113">
        <f t="shared" si="2"/>
        <v>5000000</v>
      </c>
      <c r="M24" s="1113">
        <f t="shared" si="2"/>
        <v>0</v>
      </c>
      <c r="N24" s="1113">
        <f t="shared" si="2"/>
        <v>0</v>
      </c>
      <c r="O24" s="1060">
        <f t="shared" si="2"/>
        <v>0</v>
      </c>
      <c r="P24" s="1061"/>
    </row>
    <row r="25" spans="1:16" s="10" customFormat="1" ht="34.5" customHeight="1">
      <c r="A25" s="1516">
        <v>5</v>
      </c>
      <c r="B25" s="1519">
        <v>630</v>
      </c>
      <c r="C25" s="1519">
        <v>63003</v>
      </c>
      <c r="D25" s="1114" t="s">
        <v>75</v>
      </c>
      <c r="E25" s="1519">
        <v>2008</v>
      </c>
      <c r="F25" s="1519">
        <v>2011</v>
      </c>
      <c r="G25" s="1524" t="s">
        <v>447</v>
      </c>
      <c r="H25" s="1065"/>
      <c r="I25" s="1097"/>
      <c r="J25" s="1066"/>
      <c r="K25" s="1066"/>
      <c r="L25" s="1066"/>
      <c r="M25" s="1067"/>
      <c r="N25" s="1067"/>
      <c r="O25" s="1068"/>
      <c r="P25" s="1098"/>
    </row>
    <row r="26" spans="1:16" s="10" customFormat="1" ht="15.75">
      <c r="A26" s="1517"/>
      <c r="B26" s="1520"/>
      <c r="C26" s="1520"/>
      <c r="D26" s="1070" t="s">
        <v>84</v>
      </c>
      <c r="E26" s="1522"/>
      <c r="F26" s="1522"/>
      <c r="G26" s="1525"/>
      <c r="H26" s="1099">
        <f>SUM(I26:O26)</f>
        <v>9220000</v>
      </c>
      <c r="I26" s="1117">
        <f>SUM(I27:I28)</f>
        <v>70000</v>
      </c>
      <c r="J26" s="1117">
        <f>SUM(J27:J28)</f>
        <v>150000</v>
      </c>
      <c r="K26" s="1117">
        <f>SUM(K27:K28)</f>
        <v>4000000</v>
      </c>
      <c r="L26" s="1117">
        <f>SUM(L27:L28)</f>
        <v>5000000</v>
      </c>
      <c r="M26" s="1117"/>
      <c r="N26" s="1117"/>
      <c r="O26" s="1074"/>
      <c r="P26" s="1069"/>
    </row>
    <row r="27" spans="1:16" s="10" customFormat="1" ht="15">
      <c r="A27" s="1517"/>
      <c r="B27" s="1520"/>
      <c r="C27" s="1520"/>
      <c r="D27" s="1075" t="s">
        <v>14</v>
      </c>
      <c r="E27" s="1520"/>
      <c r="F27" s="1520"/>
      <c r="G27" s="1532"/>
      <c r="H27" s="1101">
        <f>SUM(I27:O27)</f>
        <v>1570000</v>
      </c>
      <c r="I27" s="1118">
        <v>70000</v>
      </c>
      <c r="J27" s="1118">
        <v>150000</v>
      </c>
      <c r="K27" s="1118">
        <v>600000</v>
      </c>
      <c r="L27" s="1118">
        <v>750000</v>
      </c>
      <c r="M27" s="1119"/>
      <c r="N27" s="1078"/>
      <c r="O27" s="1120"/>
      <c r="P27" s="1069"/>
    </row>
    <row r="28" spans="1:16" s="10" customFormat="1" ht="15.75" thickBot="1">
      <c r="A28" s="1578"/>
      <c r="B28" s="1573"/>
      <c r="C28" s="1573"/>
      <c r="D28" s="1104" t="s">
        <v>136</v>
      </c>
      <c r="E28" s="1573"/>
      <c r="F28" s="1573"/>
      <c r="G28" s="1574"/>
      <c r="H28" s="1101">
        <f>SUM(I28:O28)</f>
        <v>7650000</v>
      </c>
      <c r="I28" s="1121"/>
      <c r="J28" s="1122"/>
      <c r="K28" s="1122">
        <v>3400000</v>
      </c>
      <c r="L28" s="1122">
        <v>4250000</v>
      </c>
      <c r="M28" s="1123"/>
      <c r="N28" s="1124"/>
      <c r="O28" s="1125"/>
      <c r="P28" s="1103"/>
    </row>
    <row r="29" spans="1:16" s="10" customFormat="1" ht="17.25" thickBot="1" thickTop="1">
      <c r="A29" s="1543" t="s">
        <v>445</v>
      </c>
      <c r="B29" s="1531"/>
      <c r="C29" s="1531"/>
      <c r="D29" s="1531"/>
      <c r="E29" s="1531"/>
      <c r="F29" s="1531"/>
      <c r="G29" s="1531"/>
      <c r="H29" s="1059">
        <f>SUM(I29:O29)</f>
        <v>48179630</v>
      </c>
      <c r="I29" s="1126">
        <f>SUM(I31,I34)</f>
        <v>4679630</v>
      </c>
      <c r="J29" s="1126">
        <f aca="true" t="shared" si="3" ref="J29:O29">SUM(J31,J34)</f>
        <v>8000000</v>
      </c>
      <c r="K29" s="1126">
        <f t="shared" si="3"/>
        <v>10000000</v>
      </c>
      <c r="L29" s="1126">
        <f t="shared" si="3"/>
        <v>8000000</v>
      </c>
      <c r="M29" s="1126">
        <f t="shared" si="3"/>
        <v>8500000</v>
      </c>
      <c r="N29" s="1126">
        <f t="shared" si="3"/>
        <v>9000000</v>
      </c>
      <c r="O29" s="1126">
        <f t="shared" si="3"/>
        <v>0</v>
      </c>
      <c r="P29" s="1080"/>
    </row>
    <row r="30" spans="1:16" s="10" customFormat="1" ht="31.5">
      <c r="A30" s="1516">
        <v>6</v>
      </c>
      <c r="B30" s="1519">
        <v>700</v>
      </c>
      <c r="C30" s="1519">
        <v>70095</v>
      </c>
      <c r="D30" s="1063" t="s">
        <v>327</v>
      </c>
      <c r="E30" s="1519">
        <v>2006</v>
      </c>
      <c r="F30" s="1519">
        <v>2013</v>
      </c>
      <c r="G30" s="1524" t="s">
        <v>661</v>
      </c>
      <c r="H30" s="1110"/>
      <c r="I30" s="1097"/>
      <c r="J30" s="1066"/>
      <c r="K30" s="1066"/>
      <c r="L30" s="1066"/>
      <c r="M30" s="1066"/>
      <c r="N30" s="1066"/>
      <c r="O30" s="1127"/>
      <c r="P30" s="1128"/>
    </row>
    <row r="31" spans="1:16" s="10" customFormat="1" ht="15.75">
      <c r="A31" s="1517"/>
      <c r="B31" s="1520"/>
      <c r="C31" s="1520"/>
      <c r="D31" s="1070" t="s">
        <v>84</v>
      </c>
      <c r="E31" s="1522"/>
      <c r="F31" s="1522"/>
      <c r="G31" s="1525"/>
      <c r="H31" s="1099">
        <f>SUM(I31:O31)</f>
        <v>44099630</v>
      </c>
      <c r="I31" s="1072">
        <f aca="true" t="shared" si="4" ref="I31:N31">SUM(I32)</f>
        <v>4599630</v>
      </c>
      <c r="J31" s="1072">
        <f t="shared" si="4"/>
        <v>6000000</v>
      </c>
      <c r="K31" s="1072">
        <f t="shared" si="4"/>
        <v>8000000</v>
      </c>
      <c r="L31" s="1072">
        <f t="shared" si="4"/>
        <v>8000000</v>
      </c>
      <c r="M31" s="1072">
        <f t="shared" si="4"/>
        <v>8500000</v>
      </c>
      <c r="N31" s="1072">
        <f t="shared" si="4"/>
        <v>9000000</v>
      </c>
      <c r="O31" s="1072"/>
      <c r="P31" s="1128"/>
    </row>
    <row r="32" spans="1:16" s="10" customFormat="1" ht="16.5" thickBot="1">
      <c r="A32" s="1518"/>
      <c r="B32" s="1521"/>
      <c r="C32" s="1521"/>
      <c r="D32" s="1075" t="s">
        <v>14</v>
      </c>
      <c r="E32" s="1520"/>
      <c r="F32" s="1520"/>
      <c r="G32" s="1532"/>
      <c r="H32" s="1101">
        <f>SUM(I32:O32)</f>
        <v>44099630</v>
      </c>
      <c r="I32" s="1077">
        <v>4599630</v>
      </c>
      <c r="J32" s="1077">
        <v>6000000</v>
      </c>
      <c r="K32" s="1077">
        <v>8000000</v>
      </c>
      <c r="L32" s="1077">
        <v>8000000</v>
      </c>
      <c r="M32" s="1077">
        <v>8500000</v>
      </c>
      <c r="N32" s="1077">
        <v>9000000</v>
      </c>
      <c r="O32" s="1102"/>
      <c r="P32" s="1128"/>
    </row>
    <row r="33" spans="1:16" s="10" customFormat="1" ht="31.5">
      <c r="A33" s="1516">
        <v>7</v>
      </c>
      <c r="B33" s="1519">
        <v>700</v>
      </c>
      <c r="C33" s="1519">
        <v>70095</v>
      </c>
      <c r="D33" s="1063" t="s">
        <v>497</v>
      </c>
      <c r="E33" s="1519">
        <v>2008</v>
      </c>
      <c r="F33" s="1519">
        <v>2010</v>
      </c>
      <c r="G33" s="1524" t="s">
        <v>661</v>
      </c>
      <c r="H33" s="1110"/>
      <c r="I33" s="1066"/>
      <c r="J33" s="1066"/>
      <c r="K33" s="1066"/>
      <c r="L33" s="1066"/>
      <c r="M33" s="1066"/>
      <c r="N33" s="1066"/>
      <c r="O33" s="1097"/>
      <c r="P33" s="1129"/>
    </row>
    <row r="34" spans="1:16" s="10" customFormat="1" ht="15.75" customHeight="1">
      <c r="A34" s="1517"/>
      <c r="B34" s="1520"/>
      <c r="C34" s="1520"/>
      <c r="D34" s="1070" t="s">
        <v>84</v>
      </c>
      <c r="E34" s="1522"/>
      <c r="F34" s="1522"/>
      <c r="G34" s="1525"/>
      <c r="H34" s="1099">
        <f>SUM(I34:O34)</f>
        <v>4080000</v>
      </c>
      <c r="I34" s="1099">
        <f>SUM(I35)</f>
        <v>80000</v>
      </c>
      <c r="J34" s="1099">
        <f>SUM(J35)</f>
        <v>2000000</v>
      </c>
      <c r="K34" s="1099">
        <f>SUM(K35)</f>
        <v>2000000</v>
      </c>
      <c r="L34" s="1099"/>
      <c r="M34" s="1130"/>
      <c r="N34" s="1130"/>
      <c r="O34" s="1131"/>
      <c r="P34" s="1128"/>
    </row>
    <row r="35" spans="1:16" s="10" customFormat="1" ht="16.5" thickBot="1">
      <c r="A35" s="1517"/>
      <c r="B35" s="1520"/>
      <c r="C35" s="1520"/>
      <c r="D35" s="1075" t="s">
        <v>14</v>
      </c>
      <c r="E35" s="1520"/>
      <c r="F35" s="1520"/>
      <c r="G35" s="1532"/>
      <c r="H35" s="1101">
        <f>SUM(I35:O35)</f>
        <v>4080000</v>
      </c>
      <c r="I35" s="1077">
        <v>80000</v>
      </c>
      <c r="J35" s="1077">
        <v>2000000</v>
      </c>
      <c r="K35" s="1077">
        <v>2000000</v>
      </c>
      <c r="L35" s="1077"/>
      <c r="M35" s="1130"/>
      <c r="N35" s="1130"/>
      <c r="O35" s="1131"/>
      <c r="P35" s="1128"/>
    </row>
    <row r="36" spans="1:16" s="10" customFormat="1" ht="17.25" thickBot="1" thickTop="1">
      <c r="A36" s="1543" t="s">
        <v>382</v>
      </c>
      <c r="B36" s="1547"/>
      <c r="C36" s="1547"/>
      <c r="D36" s="1547"/>
      <c r="E36" s="1547"/>
      <c r="F36" s="1547"/>
      <c r="G36" s="1548"/>
      <c r="H36" s="1059">
        <f>SUM(I36:O36)</f>
        <v>1144900</v>
      </c>
      <c r="I36" s="1060">
        <f>SUM(I38)</f>
        <v>22000</v>
      </c>
      <c r="J36" s="1060">
        <f>SUM(J38)</f>
        <v>621900</v>
      </c>
      <c r="K36" s="1060">
        <f>SUM(K38)</f>
        <v>501000</v>
      </c>
      <c r="L36" s="1060">
        <f>SUM(L38,L42)</f>
        <v>0</v>
      </c>
      <c r="M36" s="1060">
        <f>SUM(M38,M42)</f>
        <v>0</v>
      </c>
      <c r="N36" s="1060">
        <f>SUM(N38,N42)</f>
        <v>0</v>
      </c>
      <c r="O36" s="1060">
        <f>SUM(O38,O42)</f>
        <v>0</v>
      </c>
      <c r="P36" s="1061"/>
    </row>
    <row r="37" spans="1:16" s="10" customFormat="1" ht="17.25" customHeight="1">
      <c r="A37" s="1516">
        <v>8</v>
      </c>
      <c r="B37" s="1519">
        <v>750</v>
      </c>
      <c r="C37" s="1519">
        <v>75023</v>
      </c>
      <c r="D37" s="1063" t="s">
        <v>143</v>
      </c>
      <c r="E37" s="1519">
        <v>2008</v>
      </c>
      <c r="F37" s="1519">
        <v>2010</v>
      </c>
      <c r="G37" s="1524" t="s">
        <v>498</v>
      </c>
      <c r="H37" s="1110"/>
      <c r="I37" s="1097"/>
      <c r="J37" s="1066"/>
      <c r="K37" s="1066"/>
      <c r="L37" s="1066"/>
      <c r="M37" s="1067"/>
      <c r="N37" s="1067"/>
      <c r="O37" s="1068"/>
      <c r="P37" s="1069"/>
    </row>
    <row r="38" spans="1:16" s="10" customFormat="1" ht="15.75">
      <c r="A38" s="1517"/>
      <c r="B38" s="1520"/>
      <c r="C38" s="1520"/>
      <c r="D38" s="1070" t="s">
        <v>84</v>
      </c>
      <c r="E38" s="1522"/>
      <c r="F38" s="1522"/>
      <c r="G38" s="1525"/>
      <c r="H38" s="1099">
        <f>SUM(I38:O38)</f>
        <v>1144900</v>
      </c>
      <c r="I38" s="1072">
        <f>SUM(I39:I40)</f>
        <v>22000</v>
      </c>
      <c r="J38" s="1072">
        <f>SUM(J39:J40)</f>
        <v>621900</v>
      </c>
      <c r="K38" s="1072">
        <f>SUM(K39:K40)</f>
        <v>501000</v>
      </c>
      <c r="L38" s="1072"/>
      <c r="M38" s="1073"/>
      <c r="N38" s="1073"/>
      <c r="O38" s="1074"/>
      <c r="P38" s="1069"/>
    </row>
    <row r="39" spans="1:16" s="10" customFormat="1" ht="15">
      <c r="A39" s="1517"/>
      <c r="B39" s="1520"/>
      <c r="C39" s="1520"/>
      <c r="D39" s="1075" t="s">
        <v>14</v>
      </c>
      <c r="E39" s="1522"/>
      <c r="F39" s="1522"/>
      <c r="G39" s="1525"/>
      <c r="H39" s="1101">
        <f>SUM(I39:O39)</f>
        <v>173435</v>
      </c>
      <c r="I39" s="1077">
        <v>5000</v>
      </c>
      <c r="J39" s="1077">
        <v>93285</v>
      </c>
      <c r="K39" s="1077">
        <v>75150</v>
      </c>
      <c r="L39" s="1077"/>
      <c r="M39" s="1073"/>
      <c r="N39" s="1073"/>
      <c r="O39" s="1074"/>
      <c r="P39" s="1069"/>
    </row>
    <row r="40" spans="1:16" s="10" customFormat="1" ht="15.75" thickBot="1">
      <c r="A40" s="1518"/>
      <c r="B40" s="1521"/>
      <c r="C40" s="1521"/>
      <c r="D40" s="1104" t="s">
        <v>136</v>
      </c>
      <c r="E40" s="1523"/>
      <c r="F40" s="1523"/>
      <c r="G40" s="1526"/>
      <c r="H40" s="1101">
        <f>SUM(I40:O40)</f>
        <v>971465</v>
      </c>
      <c r="I40" s="1106">
        <v>17000</v>
      </c>
      <c r="J40" s="1106">
        <v>528615</v>
      </c>
      <c r="K40" s="1106">
        <v>425850</v>
      </c>
      <c r="L40" s="1106"/>
      <c r="M40" s="1132"/>
      <c r="N40" s="1132"/>
      <c r="O40" s="1133"/>
      <c r="P40" s="1103"/>
    </row>
    <row r="41" spans="1:16" s="10" customFormat="1" ht="17.25" thickBot="1" thickTop="1">
      <c r="A41" s="1543" t="s">
        <v>384</v>
      </c>
      <c r="B41" s="1547"/>
      <c r="C41" s="1547"/>
      <c r="D41" s="1547"/>
      <c r="E41" s="1547"/>
      <c r="F41" s="1547"/>
      <c r="G41" s="1548"/>
      <c r="H41" s="1059">
        <f>SUM(I41:O41)</f>
        <v>1237706</v>
      </c>
      <c r="I41" s="1060">
        <f>SUM(I43)</f>
        <v>37706</v>
      </c>
      <c r="J41" s="1060">
        <f aca="true" t="shared" si="5" ref="J41:O41">SUM(J43)</f>
        <v>0</v>
      </c>
      <c r="K41" s="1060">
        <f t="shared" si="5"/>
        <v>1200000</v>
      </c>
      <c r="L41" s="1060">
        <f t="shared" si="5"/>
        <v>0</v>
      </c>
      <c r="M41" s="1060">
        <f t="shared" si="5"/>
        <v>0</v>
      </c>
      <c r="N41" s="1060">
        <f t="shared" si="5"/>
        <v>0</v>
      </c>
      <c r="O41" s="1060">
        <f t="shared" si="5"/>
        <v>0</v>
      </c>
      <c r="P41" s="1061"/>
    </row>
    <row r="42" spans="1:16" s="1258" customFormat="1" ht="17.25" customHeight="1">
      <c r="A42" s="1516">
        <v>9</v>
      </c>
      <c r="B42" s="1519">
        <v>754</v>
      </c>
      <c r="C42" s="1519">
        <v>75412</v>
      </c>
      <c r="D42" s="1063" t="s">
        <v>446</v>
      </c>
      <c r="E42" s="1519">
        <v>2004</v>
      </c>
      <c r="F42" s="1519">
        <v>2010</v>
      </c>
      <c r="G42" s="1524" t="s">
        <v>447</v>
      </c>
      <c r="H42" s="1110"/>
      <c r="I42" s="1097"/>
      <c r="J42" s="1066"/>
      <c r="K42" s="1066"/>
      <c r="L42" s="1066"/>
      <c r="M42" s="1067"/>
      <c r="N42" s="1067"/>
      <c r="O42" s="1068"/>
      <c r="P42" s="1098"/>
    </row>
    <row r="43" spans="1:16" s="1258" customFormat="1" ht="15.75">
      <c r="A43" s="1517"/>
      <c r="B43" s="1520"/>
      <c r="C43" s="1520"/>
      <c r="D43" s="1070" t="s">
        <v>84</v>
      </c>
      <c r="E43" s="1522"/>
      <c r="F43" s="1522"/>
      <c r="G43" s="1525"/>
      <c r="H43" s="1099">
        <f>SUM(I43:O43)</f>
        <v>1237706</v>
      </c>
      <c r="I43" s="1099">
        <f>SUM(I44:I45)</f>
        <v>37706</v>
      </c>
      <c r="J43" s="1099"/>
      <c r="K43" s="1099">
        <f>SUM(K44:K45)</f>
        <v>1200000</v>
      </c>
      <c r="L43" s="1130"/>
      <c r="M43" s="1073"/>
      <c r="N43" s="1073"/>
      <c r="O43" s="1074"/>
      <c r="P43" s="1069"/>
    </row>
    <row r="44" spans="1:16" s="1258" customFormat="1" ht="15.75">
      <c r="A44" s="1517"/>
      <c r="B44" s="1520"/>
      <c r="C44" s="1520"/>
      <c r="D44" s="1111" t="s">
        <v>14</v>
      </c>
      <c r="E44" s="1522"/>
      <c r="F44" s="1522"/>
      <c r="G44" s="1525"/>
      <c r="H44" s="1101">
        <f>SUM(I44:O44)</f>
        <v>718706</v>
      </c>
      <c r="I44" s="1102">
        <v>37706</v>
      </c>
      <c r="J44" s="1072"/>
      <c r="K44" s="1102">
        <v>681000</v>
      </c>
      <c r="L44" s="1130"/>
      <c r="M44" s="1073"/>
      <c r="N44" s="1073"/>
      <c r="O44" s="1074"/>
      <c r="P44" s="1069"/>
    </row>
    <row r="45" spans="1:16" s="1258" customFormat="1" ht="15.75" thickBot="1">
      <c r="A45" s="1518"/>
      <c r="B45" s="1521"/>
      <c r="C45" s="1521"/>
      <c r="D45" s="1104" t="s">
        <v>136</v>
      </c>
      <c r="E45" s="1523"/>
      <c r="F45" s="1523"/>
      <c r="G45" s="1526"/>
      <c r="H45" s="1134">
        <f>SUM(I45:O45)</f>
        <v>519000</v>
      </c>
      <c r="I45" s="1105"/>
      <c r="J45" s="1106"/>
      <c r="K45" s="1106">
        <v>519000</v>
      </c>
      <c r="L45" s="1135"/>
      <c r="M45" s="1132"/>
      <c r="N45" s="1132"/>
      <c r="O45" s="1133"/>
      <c r="P45" s="1109"/>
    </row>
    <row r="46" spans="1:16" s="1258" customFormat="1" ht="15.75">
      <c r="A46" s="1537" t="s">
        <v>595</v>
      </c>
      <c r="B46" s="1527" t="s">
        <v>375</v>
      </c>
      <c r="C46" s="1527" t="s">
        <v>659</v>
      </c>
      <c r="D46" s="1527" t="s">
        <v>433</v>
      </c>
      <c r="E46" s="1549" t="s">
        <v>53</v>
      </c>
      <c r="F46" s="1550"/>
      <c r="G46" s="1527" t="s">
        <v>660</v>
      </c>
      <c r="H46" s="1549" t="s">
        <v>71</v>
      </c>
      <c r="I46" s="1561" t="s">
        <v>434</v>
      </c>
      <c r="J46" s="1562"/>
      <c r="K46" s="1562"/>
      <c r="L46" s="1562"/>
      <c r="M46" s="1562"/>
      <c r="N46" s="1562"/>
      <c r="O46" s="1562"/>
      <c r="P46" s="1563" t="s">
        <v>80</v>
      </c>
    </row>
    <row r="47" spans="1:16" s="1258" customFormat="1" ht="15.75">
      <c r="A47" s="1538"/>
      <c r="B47" s="1528"/>
      <c r="C47" s="1528"/>
      <c r="D47" s="1528"/>
      <c r="E47" s="1551"/>
      <c r="F47" s="1552"/>
      <c r="G47" s="1528"/>
      <c r="H47" s="1528"/>
      <c r="I47" s="1528" t="s">
        <v>492</v>
      </c>
      <c r="J47" s="1528" t="s">
        <v>493</v>
      </c>
      <c r="K47" s="1551" t="s">
        <v>81</v>
      </c>
      <c r="L47" s="1566"/>
      <c r="M47" s="1566"/>
      <c r="N47" s="1566"/>
      <c r="O47" s="1566"/>
      <c r="P47" s="1564"/>
    </row>
    <row r="48" spans="1:16" s="1258" customFormat="1" ht="33" customHeight="1" thickBot="1">
      <c r="A48" s="1539"/>
      <c r="B48" s="1529"/>
      <c r="C48" s="1529"/>
      <c r="D48" s="1529"/>
      <c r="E48" s="1136" t="s">
        <v>435</v>
      </c>
      <c r="F48" s="1136" t="s">
        <v>436</v>
      </c>
      <c r="G48" s="1529"/>
      <c r="H48" s="1560"/>
      <c r="I48" s="1560"/>
      <c r="J48" s="1560"/>
      <c r="K48" s="1137">
        <v>2010</v>
      </c>
      <c r="L48" s="1138">
        <v>2011</v>
      </c>
      <c r="M48" s="1138">
        <v>2012</v>
      </c>
      <c r="N48" s="1138">
        <v>2013</v>
      </c>
      <c r="O48" s="1139" t="s">
        <v>494</v>
      </c>
      <c r="P48" s="1565"/>
    </row>
    <row r="49" spans="1:16" s="1258" customFormat="1" ht="15.75" thickBot="1">
      <c r="A49" s="1053">
        <v>1</v>
      </c>
      <c r="B49" s="1054">
        <v>2</v>
      </c>
      <c r="C49" s="1054">
        <v>3</v>
      </c>
      <c r="D49" s="1054">
        <v>4</v>
      </c>
      <c r="E49" s="1055">
        <v>5</v>
      </c>
      <c r="F49" s="1055">
        <v>6</v>
      </c>
      <c r="G49" s="1055">
        <v>7</v>
      </c>
      <c r="H49" s="1056">
        <v>8</v>
      </c>
      <c r="I49" s="1055">
        <v>9</v>
      </c>
      <c r="J49" s="1054">
        <v>10</v>
      </c>
      <c r="K49" s="1054">
        <v>11</v>
      </c>
      <c r="L49" s="1054">
        <v>12</v>
      </c>
      <c r="M49" s="1054">
        <v>13</v>
      </c>
      <c r="N49" s="1054">
        <v>14</v>
      </c>
      <c r="O49" s="1057">
        <v>15</v>
      </c>
      <c r="P49" s="1058">
        <v>16</v>
      </c>
    </row>
    <row r="50" spans="1:16" s="1258" customFormat="1" ht="17.25" thickBot="1" thickTop="1">
      <c r="A50" s="1543" t="s">
        <v>448</v>
      </c>
      <c r="B50" s="1531"/>
      <c r="C50" s="1531"/>
      <c r="D50" s="1531"/>
      <c r="E50" s="1531"/>
      <c r="F50" s="1531"/>
      <c r="G50" s="1531"/>
      <c r="H50" s="1059">
        <f>SUM(I50:O50)</f>
        <v>36190000</v>
      </c>
      <c r="I50" s="1126">
        <f aca="true" t="shared" si="6" ref="I50:O50">SUM(I52,I56,I60,I64,I68,I72,I75,I79,I82)</f>
        <v>275000</v>
      </c>
      <c r="J50" s="1126">
        <f t="shared" si="6"/>
        <v>2600000</v>
      </c>
      <c r="K50" s="1126">
        <f t="shared" si="6"/>
        <v>6565000</v>
      </c>
      <c r="L50" s="1126">
        <f t="shared" si="6"/>
        <v>1700000</v>
      </c>
      <c r="M50" s="1126">
        <f t="shared" si="6"/>
        <v>5400000</v>
      </c>
      <c r="N50" s="1126">
        <f t="shared" si="6"/>
        <v>6650000</v>
      </c>
      <c r="O50" s="1126">
        <f t="shared" si="6"/>
        <v>13000000</v>
      </c>
      <c r="P50" s="1080"/>
    </row>
    <row r="51" spans="1:16" s="1258" customFormat="1" ht="31.5">
      <c r="A51" s="1516">
        <v>10</v>
      </c>
      <c r="B51" s="1519">
        <v>900</v>
      </c>
      <c r="C51" s="1519">
        <v>90001</v>
      </c>
      <c r="D51" s="1063" t="s">
        <v>499</v>
      </c>
      <c r="E51" s="1519">
        <v>2008</v>
      </c>
      <c r="F51" s="1519">
        <v>2010</v>
      </c>
      <c r="G51" s="1524" t="s">
        <v>661</v>
      </c>
      <c r="H51" s="1110"/>
      <c r="I51" s="1140"/>
      <c r="J51" s="1066"/>
      <c r="K51" s="1066"/>
      <c r="L51" s="1067"/>
      <c r="M51" s="1067"/>
      <c r="N51" s="1067"/>
      <c r="O51" s="1068"/>
      <c r="P51" s="1069"/>
    </row>
    <row r="52" spans="1:16" s="10" customFormat="1" ht="15.75" customHeight="1">
      <c r="A52" s="1517"/>
      <c r="B52" s="1520"/>
      <c r="C52" s="1520"/>
      <c r="D52" s="1070" t="s">
        <v>84</v>
      </c>
      <c r="E52" s="1522"/>
      <c r="F52" s="1522"/>
      <c r="G52" s="1525"/>
      <c r="H52" s="1099">
        <f>SUM(I52:O52)</f>
        <v>5560000</v>
      </c>
      <c r="I52" s="1141">
        <f>SUM(I53:I54)</f>
        <v>45000</v>
      </c>
      <c r="J52" s="1141">
        <f>SUM(J53:J54)</f>
        <v>1500000</v>
      </c>
      <c r="K52" s="1141">
        <f>SUM(K53:K54)</f>
        <v>4015000</v>
      </c>
      <c r="L52" s="1141"/>
      <c r="M52" s="1142"/>
      <c r="N52" s="1142"/>
      <c r="O52" s="1143"/>
      <c r="P52" s="1069"/>
    </row>
    <row r="53" spans="1:16" s="10" customFormat="1" ht="15.75" customHeight="1">
      <c r="A53" s="1517"/>
      <c r="B53" s="1520"/>
      <c r="C53" s="1520"/>
      <c r="D53" s="1075" t="s">
        <v>14</v>
      </c>
      <c r="E53" s="1522"/>
      <c r="F53" s="1522"/>
      <c r="G53" s="1525"/>
      <c r="H53" s="1144">
        <f>SUM(I53:O53)</f>
        <v>1423750</v>
      </c>
      <c r="I53" s="1102">
        <v>45000</v>
      </c>
      <c r="J53" s="1077">
        <v>375000</v>
      </c>
      <c r="K53" s="1077">
        <v>1003750</v>
      </c>
      <c r="L53" s="1078"/>
      <c r="M53" s="1078"/>
      <c r="N53" s="1078"/>
      <c r="O53" s="1100"/>
      <c r="P53" s="1069"/>
    </row>
    <row r="54" spans="1:16" s="10" customFormat="1" ht="15.75" thickBot="1">
      <c r="A54" s="1518"/>
      <c r="B54" s="1521"/>
      <c r="C54" s="1521"/>
      <c r="D54" s="1104" t="s">
        <v>136</v>
      </c>
      <c r="E54" s="1523"/>
      <c r="F54" s="1523"/>
      <c r="G54" s="1526"/>
      <c r="H54" s="1144">
        <f>SUM(I54:O54)</f>
        <v>4136250</v>
      </c>
      <c r="I54" s="1145"/>
      <c r="J54" s="1106">
        <v>1125000</v>
      </c>
      <c r="K54" s="1106">
        <v>3011250</v>
      </c>
      <c r="L54" s="1107"/>
      <c r="M54" s="1107"/>
      <c r="N54" s="1107"/>
      <c r="O54" s="1108"/>
      <c r="P54" s="1103"/>
    </row>
    <row r="55" spans="1:16" s="10" customFormat="1" ht="42" customHeight="1">
      <c r="A55" s="1516">
        <v>11</v>
      </c>
      <c r="B55" s="1519">
        <v>900</v>
      </c>
      <c r="C55" s="1519">
        <v>90001</v>
      </c>
      <c r="D55" s="1063" t="s">
        <v>328</v>
      </c>
      <c r="E55" s="1519">
        <v>2010</v>
      </c>
      <c r="F55" s="1519" t="s">
        <v>494</v>
      </c>
      <c r="G55" s="1524" t="s">
        <v>447</v>
      </c>
      <c r="H55" s="1110"/>
      <c r="I55" s="1140"/>
      <c r="J55" s="1066"/>
      <c r="K55" s="1066"/>
      <c r="L55" s="1067"/>
      <c r="M55" s="1067"/>
      <c r="N55" s="1067"/>
      <c r="O55" s="1068"/>
      <c r="P55" s="1098"/>
    </row>
    <row r="56" spans="1:16" s="10" customFormat="1" ht="15.75">
      <c r="A56" s="1517"/>
      <c r="B56" s="1520"/>
      <c r="C56" s="1520"/>
      <c r="D56" s="1070" t="s">
        <v>84</v>
      </c>
      <c r="E56" s="1522"/>
      <c r="F56" s="1522"/>
      <c r="G56" s="1525"/>
      <c r="H56" s="1099">
        <f>SUM(I56:O56)</f>
        <v>12400000</v>
      </c>
      <c r="I56" s="1146"/>
      <c r="J56" s="1141"/>
      <c r="K56" s="1141">
        <f>SUM(K57:K58)</f>
        <v>50000</v>
      </c>
      <c r="L56" s="1141">
        <f>SUM(L57:L58)</f>
        <v>150000</v>
      </c>
      <c r="M56" s="1141">
        <f>SUM(M57:M58)</f>
        <v>4200000</v>
      </c>
      <c r="N56" s="1141">
        <f>SUM(N57:N58)</f>
        <v>4000000</v>
      </c>
      <c r="O56" s="1141">
        <f>SUM(O57:O58)</f>
        <v>4000000</v>
      </c>
      <c r="P56" s="1069"/>
    </row>
    <row r="57" spans="1:16" s="10" customFormat="1" ht="17.25" customHeight="1">
      <c r="A57" s="1517"/>
      <c r="B57" s="1520"/>
      <c r="C57" s="1520"/>
      <c r="D57" s="1075" t="s">
        <v>14</v>
      </c>
      <c r="E57" s="1522"/>
      <c r="F57" s="1522"/>
      <c r="G57" s="1525"/>
      <c r="H57" s="1144">
        <f>SUM(I57:O57)</f>
        <v>3250000</v>
      </c>
      <c r="I57" s="1147"/>
      <c r="J57" s="1077"/>
      <c r="K57" s="1077">
        <v>50000</v>
      </c>
      <c r="L57" s="1078">
        <v>150000</v>
      </c>
      <c r="M57" s="1078">
        <v>1050000</v>
      </c>
      <c r="N57" s="1078">
        <v>1000000</v>
      </c>
      <c r="O57" s="1100">
        <v>1000000</v>
      </c>
      <c r="P57" s="1069"/>
    </row>
    <row r="58" spans="1:16" s="10" customFormat="1" ht="15.75" thickBot="1">
      <c r="A58" s="1518"/>
      <c r="B58" s="1521"/>
      <c r="C58" s="1521"/>
      <c r="D58" s="1104" t="s">
        <v>136</v>
      </c>
      <c r="E58" s="1523"/>
      <c r="F58" s="1523"/>
      <c r="G58" s="1526"/>
      <c r="H58" s="1144">
        <f>SUM(I58:O58)</f>
        <v>9150000</v>
      </c>
      <c r="I58" s="1145"/>
      <c r="J58" s="1106"/>
      <c r="K58" s="1106"/>
      <c r="L58" s="1107"/>
      <c r="M58" s="1107">
        <v>3150000</v>
      </c>
      <c r="N58" s="1107">
        <v>3000000</v>
      </c>
      <c r="O58" s="1108">
        <v>3000000</v>
      </c>
      <c r="P58" s="1109"/>
    </row>
    <row r="59" spans="1:16" s="10" customFormat="1" ht="41.25" customHeight="1">
      <c r="A59" s="1516">
        <v>12</v>
      </c>
      <c r="B59" s="1519">
        <v>900</v>
      </c>
      <c r="C59" s="1519">
        <v>90001</v>
      </c>
      <c r="D59" s="1063" t="s">
        <v>330</v>
      </c>
      <c r="E59" s="1519">
        <v>2011</v>
      </c>
      <c r="F59" s="1519" t="s">
        <v>494</v>
      </c>
      <c r="G59" s="1524" t="s">
        <v>447</v>
      </c>
      <c r="H59" s="1110"/>
      <c r="I59" s="1140"/>
      <c r="J59" s="1066"/>
      <c r="K59" s="1066"/>
      <c r="L59" s="1067"/>
      <c r="M59" s="1067"/>
      <c r="N59" s="1067"/>
      <c r="O59" s="1068"/>
      <c r="P59" s="1098"/>
    </row>
    <row r="60" spans="1:16" s="10" customFormat="1" ht="15.75">
      <c r="A60" s="1517"/>
      <c r="B60" s="1520"/>
      <c r="C60" s="1520"/>
      <c r="D60" s="1070" t="s">
        <v>84</v>
      </c>
      <c r="E60" s="1522"/>
      <c r="F60" s="1522"/>
      <c r="G60" s="1525"/>
      <c r="H60" s="1099">
        <f>SUM(I60:O60)</f>
        <v>5200000</v>
      </c>
      <c r="I60" s="1146"/>
      <c r="J60" s="1141"/>
      <c r="K60" s="1141"/>
      <c r="L60" s="1141">
        <f>SUM(L61:L62)</f>
        <v>50000</v>
      </c>
      <c r="M60" s="1141">
        <f>SUM(M61:M62)</f>
        <v>150000</v>
      </c>
      <c r="N60" s="1141">
        <f>SUM(N61:N62)</f>
        <v>2500000</v>
      </c>
      <c r="O60" s="1141">
        <f>SUM(O61:O62)</f>
        <v>2500000</v>
      </c>
      <c r="P60" s="1069"/>
    </row>
    <row r="61" spans="1:16" s="10" customFormat="1" ht="15">
      <c r="A61" s="1517"/>
      <c r="B61" s="1520"/>
      <c r="C61" s="1520"/>
      <c r="D61" s="1075" t="s">
        <v>14</v>
      </c>
      <c r="E61" s="1522"/>
      <c r="F61" s="1522"/>
      <c r="G61" s="1525"/>
      <c r="H61" s="1144">
        <f>SUM(I61:O61)</f>
        <v>1450000</v>
      </c>
      <c r="I61" s="1147"/>
      <c r="J61" s="1077"/>
      <c r="K61" s="1077"/>
      <c r="L61" s="1078">
        <v>50000</v>
      </c>
      <c r="M61" s="1078">
        <v>150000</v>
      </c>
      <c r="N61" s="1078">
        <v>625000</v>
      </c>
      <c r="O61" s="1100">
        <v>625000</v>
      </c>
      <c r="P61" s="1069"/>
    </row>
    <row r="62" spans="1:16" s="10" customFormat="1" ht="15.75" thickBot="1">
      <c r="A62" s="1518"/>
      <c r="B62" s="1521"/>
      <c r="C62" s="1521"/>
      <c r="D62" s="1104" t="s">
        <v>136</v>
      </c>
      <c r="E62" s="1523"/>
      <c r="F62" s="1523"/>
      <c r="G62" s="1526"/>
      <c r="H62" s="1144">
        <f>SUM(I62:O62)</f>
        <v>3750000</v>
      </c>
      <c r="I62" s="1145"/>
      <c r="J62" s="1106"/>
      <c r="K62" s="1106"/>
      <c r="L62" s="1107"/>
      <c r="M62" s="1107"/>
      <c r="N62" s="1107">
        <v>1875000</v>
      </c>
      <c r="O62" s="1108">
        <v>1875000</v>
      </c>
      <c r="P62" s="1109"/>
    </row>
    <row r="63" spans="1:16" s="10" customFormat="1" ht="36" customHeight="1">
      <c r="A63" s="1516">
        <v>13</v>
      </c>
      <c r="B63" s="1519">
        <v>900</v>
      </c>
      <c r="C63" s="1519">
        <v>90001</v>
      </c>
      <c r="D63" s="1063" t="s">
        <v>323</v>
      </c>
      <c r="E63" s="1519">
        <v>2012</v>
      </c>
      <c r="F63" s="1519" t="s">
        <v>494</v>
      </c>
      <c r="G63" s="1524" t="s">
        <v>447</v>
      </c>
      <c r="H63" s="1110"/>
      <c r="I63" s="1140"/>
      <c r="J63" s="1066"/>
      <c r="K63" s="1066"/>
      <c r="L63" s="1067"/>
      <c r="M63" s="1067"/>
      <c r="N63" s="1067"/>
      <c r="O63" s="1068"/>
      <c r="P63" s="1098"/>
    </row>
    <row r="64" spans="1:16" s="10" customFormat="1" ht="15.75">
      <c r="A64" s="1517"/>
      <c r="B64" s="1520"/>
      <c r="C64" s="1520"/>
      <c r="D64" s="1070" t="s">
        <v>84</v>
      </c>
      <c r="E64" s="1522"/>
      <c r="F64" s="1522"/>
      <c r="G64" s="1525"/>
      <c r="H64" s="1099">
        <f>SUM(I64:O64)</f>
        <v>6700000</v>
      </c>
      <c r="I64" s="1146"/>
      <c r="J64" s="1141"/>
      <c r="K64" s="1141"/>
      <c r="L64" s="1141"/>
      <c r="M64" s="1141">
        <f>SUM(M65:M66)</f>
        <v>50000</v>
      </c>
      <c r="N64" s="1141">
        <f>SUM(N65:N66)</f>
        <v>150000</v>
      </c>
      <c r="O64" s="1141">
        <f>SUM(O65:O66)</f>
        <v>6500000</v>
      </c>
      <c r="P64" s="1069"/>
    </row>
    <row r="65" spans="1:16" s="1258" customFormat="1" ht="17.25" customHeight="1">
      <c r="A65" s="1517"/>
      <c r="B65" s="1520"/>
      <c r="C65" s="1520"/>
      <c r="D65" s="1075" t="s">
        <v>14</v>
      </c>
      <c r="E65" s="1522"/>
      <c r="F65" s="1522"/>
      <c r="G65" s="1525"/>
      <c r="H65" s="1144">
        <f>SUM(I65:O65)</f>
        <v>1825000</v>
      </c>
      <c r="I65" s="1147"/>
      <c r="J65" s="1077"/>
      <c r="K65" s="1077"/>
      <c r="L65" s="1078"/>
      <c r="M65" s="1078">
        <v>50000</v>
      </c>
      <c r="N65" s="1078">
        <v>150000</v>
      </c>
      <c r="O65" s="1100">
        <v>1625000</v>
      </c>
      <c r="P65" s="1069"/>
    </row>
    <row r="66" spans="1:16" s="1258" customFormat="1" ht="15.75" thickBot="1">
      <c r="A66" s="1518"/>
      <c r="B66" s="1521"/>
      <c r="C66" s="1521"/>
      <c r="D66" s="1104" t="s">
        <v>136</v>
      </c>
      <c r="E66" s="1523"/>
      <c r="F66" s="1523"/>
      <c r="G66" s="1526"/>
      <c r="H66" s="1144">
        <f>SUM(I66:O66)</f>
        <v>4875000</v>
      </c>
      <c r="I66" s="1145"/>
      <c r="J66" s="1106"/>
      <c r="K66" s="1106"/>
      <c r="L66" s="1107"/>
      <c r="M66" s="1107"/>
      <c r="N66" s="1107"/>
      <c r="O66" s="1108">
        <v>4875000</v>
      </c>
      <c r="P66" s="1109"/>
    </row>
    <row r="67" spans="1:16" s="1258" customFormat="1" ht="37.5" customHeight="1">
      <c r="A67" s="1516">
        <v>14</v>
      </c>
      <c r="B67" s="1519">
        <v>900</v>
      </c>
      <c r="C67" s="1519">
        <v>90001</v>
      </c>
      <c r="D67" s="1148" t="s">
        <v>324</v>
      </c>
      <c r="E67" s="1522">
        <v>2010</v>
      </c>
      <c r="F67" s="1522">
        <v>2012</v>
      </c>
      <c r="G67" s="1525" t="s">
        <v>447</v>
      </c>
      <c r="H67" s="1110"/>
      <c r="I67" s="1149"/>
      <c r="J67" s="1130"/>
      <c r="K67" s="1130"/>
      <c r="L67" s="1073"/>
      <c r="M67" s="1073"/>
      <c r="N67" s="1073"/>
      <c r="O67" s="1074"/>
      <c r="P67" s="1069"/>
    </row>
    <row r="68" spans="1:16" s="1258" customFormat="1" ht="15.75">
      <c r="A68" s="1545"/>
      <c r="B68" s="1522"/>
      <c r="C68" s="1522"/>
      <c r="D68" s="1070" t="s">
        <v>84</v>
      </c>
      <c r="E68" s="1522"/>
      <c r="F68" s="1522"/>
      <c r="G68" s="1525"/>
      <c r="H68" s="1099">
        <f>SUM(I68:O68)</f>
        <v>1650000</v>
      </c>
      <c r="I68" s="1150"/>
      <c r="J68" s="1141"/>
      <c r="K68" s="1141">
        <f>SUM(K69:K70)</f>
        <v>100000</v>
      </c>
      <c r="L68" s="1141">
        <f>SUM(L69:L70)</f>
        <v>550000</v>
      </c>
      <c r="M68" s="1141">
        <f>SUM(M69:M70)</f>
        <v>1000000</v>
      </c>
      <c r="N68" s="1141"/>
      <c r="O68" s="1100"/>
      <c r="P68" s="1069"/>
    </row>
    <row r="69" spans="1:16" s="1258" customFormat="1" ht="15">
      <c r="A69" s="1545"/>
      <c r="B69" s="1522"/>
      <c r="C69" s="1522"/>
      <c r="D69" s="1075" t="s">
        <v>14</v>
      </c>
      <c r="E69" s="1522"/>
      <c r="F69" s="1522"/>
      <c r="G69" s="1525"/>
      <c r="H69" s="1144">
        <f>SUM(I69:O69)</f>
        <v>487500</v>
      </c>
      <c r="I69" s="1147"/>
      <c r="J69" s="1077"/>
      <c r="K69" s="1078">
        <v>100000</v>
      </c>
      <c r="L69" s="1078">
        <v>137500</v>
      </c>
      <c r="M69" s="1078">
        <v>250000</v>
      </c>
      <c r="N69" s="1078"/>
      <c r="O69" s="1100"/>
      <c r="P69" s="1069"/>
    </row>
    <row r="70" spans="1:16" s="1258" customFormat="1" ht="17.25" customHeight="1" thickBot="1">
      <c r="A70" s="1546"/>
      <c r="B70" s="1523"/>
      <c r="C70" s="1523"/>
      <c r="D70" s="1104" t="s">
        <v>136</v>
      </c>
      <c r="E70" s="1522"/>
      <c r="F70" s="1522"/>
      <c r="G70" s="1525"/>
      <c r="H70" s="1144">
        <f>SUM(I70:O70)</f>
        <v>1162500</v>
      </c>
      <c r="I70" s="1147"/>
      <c r="J70" s="1077"/>
      <c r="K70" s="1078"/>
      <c r="L70" s="1078">
        <v>412500</v>
      </c>
      <c r="M70" s="1078">
        <v>750000</v>
      </c>
      <c r="N70" s="1078"/>
      <c r="O70" s="1100"/>
      <c r="P70" s="1103"/>
    </row>
    <row r="71" spans="1:16" s="10" customFormat="1" ht="31.5">
      <c r="A71" s="1516">
        <v>15</v>
      </c>
      <c r="B71" s="1115"/>
      <c r="C71" s="1115"/>
      <c r="D71" s="1151" t="s">
        <v>83</v>
      </c>
      <c r="E71" s="1062"/>
      <c r="F71" s="1062"/>
      <c r="G71" s="1064"/>
      <c r="H71" s="1152"/>
      <c r="I71" s="1153"/>
      <c r="J71" s="1154"/>
      <c r="K71" s="1154"/>
      <c r="L71" s="1155"/>
      <c r="M71" s="1155"/>
      <c r="N71" s="1155"/>
      <c r="O71" s="1156"/>
      <c r="P71" s="1098"/>
    </row>
    <row r="72" spans="1:16" s="10" customFormat="1" ht="15.75">
      <c r="A72" s="1517"/>
      <c r="B72" s="1115">
        <v>900</v>
      </c>
      <c r="C72" s="1115">
        <v>90001</v>
      </c>
      <c r="D72" s="1157" t="s">
        <v>84</v>
      </c>
      <c r="E72" s="1115">
        <v>2008</v>
      </c>
      <c r="F72" s="1115">
        <v>2009</v>
      </c>
      <c r="G72" s="1116" t="s">
        <v>447</v>
      </c>
      <c r="H72" s="1099">
        <f>SUM(I72:O72)</f>
        <v>550000</v>
      </c>
      <c r="I72" s="1141">
        <f>SUM(I73:I73)</f>
        <v>50000</v>
      </c>
      <c r="J72" s="1141">
        <f>SUM(J73:J73)</f>
        <v>500000</v>
      </c>
      <c r="K72" s="1141"/>
      <c r="L72" s="1078"/>
      <c r="M72" s="1078"/>
      <c r="N72" s="1078"/>
      <c r="O72" s="1100"/>
      <c r="P72" s="1069"/>
    </row>
    <row r="73" spans="1:16" s="10" customFormat="1" ht="15.75" thickBot="1">
      <c r="A73" s="1545"/>
      <c r="B73" s="1115"/>
      <c r="C73" s="1115"/>
      <c r="D73" s="1075" t="s">
        <v>14</v>
      </c>
      <c r="E73" s="1115"/>
      <c r="F73" s="1115"/>
      <c r="G73" s="1116"/>
      <c r="H73" s="1101">
        <f>SUM(I73:O73)</f>
        <v>550000</v>
      </c>
      <c r="I73" s="1077">
        <v>50000</v>
      </c>
      <c r="J73" s="1077">
        <f>1000000-500000</f>
        <v>500000</v>
      </c>
      <c r="K73" s="1077"/>
      <c r="L73" s="1078"/>
      <c r="M73" s="1078"/>
      <c r="N73" s="1078"/>
      <c r="O73" s="1100"/>
      <c r="P73" s="1069"/>
    </row>
    <row r="74" spans="1:16" s="10" customFormat="1" ht="53.25" customHeight="1">
      <c r="A74" s="1516">
        <v>16</v>
      </c>
      <c r="B74" s="1519">
        <v>900</v>
      </c>
      <c r="C74" s="1519">
        <v>90001</v>
      </c>
      <c r="D74" s="1158" t="s">
        <v>500</v>
      </c>
      <c r="E74" s="1519">
        <v>2008</v>
      </c>
      <c r="F74" s="1519">
        <v>2010</v>
      </c>
      <c r="G74" s="1519" t="s">
        <v>447</v>
      </c>
      <c r="H74" s="1159"/>
      <c r="I74" s="1153"/>
      <c r="J74" s="1154"/>
      <c r="K74" s="1154"/>
      <c r="L74" s="1155"/>
      <c r="M74" s="1155"/>
      <c r="N74" s="1155"/>
      <c r="O74" s="1156"/>
      <c r="P74" s="1098"/>
    </row>
    <row r="75" spans="1:16" s="10" customFormat="1" ht="15.75">
      <c r="A75" s="1517"/>
      <c r="B75" s="1520"/>
      <c r="C75" s="1520"/>
      <c r="D75" s="1157" t="s">
        <v>84</v>
      </c>
      <c r="E75" s="1520"/>
      <c r="F75" s="1520"/>
      <c r="G75" s="1520"/>
      <c r="H75" s="1099">
        <f>SUM(I75:O75)</f>
        <v>1515000</v>
      </c>
      <c r="I75" s="1141">
        <f>SUM(I76:I77)</f>
        <v>15000</v>
      </c>
      <c r="J75" s="1141"/>
      <c r="K75" s="1141">
        <f>SUM(K76:K77)</f>
        <v>1500000</v>
      </c>
      <c r="L75" s="1078"/>
      <c r="M75" s="1078"/>
      <c r="N75" s="1078"/>
      <c r="O75" s="1100"/>
      <c r="P75" s="1069"/>
    </row>
    <row r="76" spans="1:16" s="10" customFormat="1" ht="15">
      <c r="A76" s="1517"/>
      <c r="B76" s="1520"/>
      <c r="C76" s="1520"/>
      <c r="D76" s="1075" t="s">
        <v>14</v>
      </c>
      <c r="E76" s="1520"/>
      <c r="F76" s="1520"/>
      <c r="G76" s="1520"/>
      <c r="H76" s="1144">
        <f>SUM(I76:O76)</f>
        <v>390000</v>
      </c>
      <c r="I76" s="1102">
        <v>15000</v>
      </c>
      <c r="J76" s="1077"/>
      <c r="K76" s="1077">
        <v>375000</v>
      </c>
      <c r="L76" s="1078"/>
      <c r="M76" s="1078"/>
      <c r="N76" s="1078"/>
      <c r="O76" s="1100"/>
      <c r="P76" s="1069"/>
    </row>
    <row r="77" spans="1:16" s="10" customFormat="1" ht="15.75" thickBot="1">
      <c r="A77" s="1518"/>
      <c r="B77" s="1521"/>
      <c r="C77" s="1521"/>
      <c r="D77" s="1075" t="s">
        <v>136</v>
      </c>
      <c r="E77" s="1521"/>
      <c r="F77" s="1521"/>
      <c r="G77" s="1521"/>
      <c r="H77" s="1134">
        <f>SUM(I77:O77)</f>
        <v>1125000</v>
      </c>
      <c r="I77" s="1145"/>
      <c r="J77" s="1106"/>
      <c r="K77" s="1106">
        <v>1125000</v>
      </c>
      <c r="L77" s="1107"/>
      <c r="M77" s="1107"/>
      <c r="N77" s="1107"/>
      <c r="O77" s="1108"/>
      <c r="P77" s="1109"/>
    </row>
    <row r="78" spans="1:16" s="10" customFormat="1" ht="54" customHeight="1">
      <c r="A78" s="1540">
        <v>17</v>
      </c>
      <c r="B78" s="1533">
        <v>900</v>
      </c>
      <c r="C78" s="1533">
        <v>90001</v>
      </c>
      <c r="D78" s="1158" t="s">
        <v>506</v>
      </c>
      <c r="E78" s="1533">
        <v>2008</v>
      </c>
      <c r="F78" s="1533">
        <v>2009</v>
      </c>
      <c r="G78" s="1533" t="s">
        <v>447</v>
      </c>
      <c r="H78" s="1101"/>
      <c r="I78" s="1147"/>
      <c r="J78" s="1077"/>
      <c r="K78" s="1077"/>
      <c r="L78" s="1078"/>
      <c r="M78" s="1078"/>
      <c r="N78" s="1078"/>
      <c r="O78" s="1100"/>
      <c r="P78" s="1069"/>
    </row>
    <row r="79" spans="1:16" s="10" customFormat="1" ht="15.75">
      <c r="A79" s="1517"/>
      <c r="B79" s="1520"/>
      <c r="C79" s="1520"/>
      <c r="D79" s="1157" t="s">
        <v>84</v>
      </c>
      <c r="E79" s="1520"/>
      <c r="F79" s="1520"/>
      <c r="G79" s="1520"/>
      <c r="H79" s="1099">
        <f>SUM(I79:O79)</f>
        <v>700000</v>
      </c>
      <c r="I79" s="1141">
        <f>SUM(I80:I80)</f>
        <v>100000</v>
      </c>
      <c r="J79" s="1141">
        <f>SUM(J80:J80)</f>
        <v>600000</v>
      </c>
      <c r="K79" s="1141"/>
      <c r="L79" s="1078"/>
      <c r="M79" s="1078"/>
      <c r="N79" s="1078"/>
      <c r="O79" s="1100"/>
      <c r="P79" s="1069"/>
    </row>
    <row r="80" spans="1:16" s="10" customFormat="1" ht="15.75" customHeight="1" thickBot="1">
      <c r="A80" s="1517"/>
      <c r="B80" s="1520"/>
      <c r="C80" s="1520"/>
      <c r="D80" s="1075" t="s">
        <v>14</v>
      </c>
      <c r="E80" s="1520"/>
      <c r="F80" s="1520"/>
      <c r="G80" s="1520"/>
      <c r="H80" s="1134">
        <f>SUM(I80:O80)</f>
        <v>700000</v>
      </c>
      <c r="I80" s="1145">
        <v>100000</v>
      </c>
      <c r="J80" s="1106">
        <f>700000-100000</f>
        <v>600000</v>
      </c>
      <c r="K80" s="1106"/>
      <c r="L80" s="1107"/>
      <c r="M80" s="1107"/>
      <c r="N80" s="1107"/>
      <c r="O80" s="1108"/>
      <c r="P80" s="1160"/>
    </row>
    <row r="81" spans="1:16" s="10" customFormat="1" ht="50.25" customHeight="1">
      <c r="A81" s="1544">
        <v>18</v>
      </c>
      <c r="B81" s="1519">
        <v>900</v>
      </c>
      <c r="C81" s="1519">
        <v>90001</v>
      </c>
      <c r="D81" s="1063" t="s">
        <v>507</v>
      </c>
      <c r="E81" s="1519">
        <v>2007</v>
      </c>
      <c r="F81" s="1519">
        <v>2011</v>
      </c>
      <c r="G81" s="1524" t="s">
        <v>661</v>
      </c>
      <c r="H81" s="1110"/>
      <c r="I81" s="1140"/>
      <c r="J81" s="1066"/>
      <c r="K81" s="1066"/>
      <c r="L81" s="1066"/>
      <c r="M81" s="1067"/>
      <c r="N81" s="1067"/>
      <c r="O81" s="1068"/>
      <c r="P81" s="1098"/>
    </row>
    <row r="82" spans="1:16" s="10" customFormat="1" ht="15.75">
      <c r="A82" s="1517"/>
      <c r="B82" s="1520"/>
      <c r="C82" s="1520"/>
      <c r="D82" s="1070" t="s">
        <v>84</v>
      </c>
      <c r="E82" s="1522"/>
      <c r="F82" s="1522"/>
      <c r="G82" s="1525"/>
      <c r="H82" s="1099">
        <f>SUM(I82:O82)</f>
        <v>1915000</v>
      </c>
      <c r="I82" s="1146">
        <f>SUM(I83:I84)</f>
        <v>65000</v>
      </c>
      <c r="J82" s="1146"/>
      <c r="K82" s="1146">
        <f>SUM(K83:K84)</f>
        <v>900000</v>
      </c>
      <c r="L82" s="1146">
        <f>SUM(L83:L84)</f>
        <v>950000</v>
      </c>
      <c r="M82" s="1078"/>
      <c r="N82" s="1078"/>
      <c r="O82" s="1100"/>
      <c r="P82" s="1069"/>
    </row>
    <row r="83" spans="1:16" s="10" customFormat="1" ht="15">
      <c r="A83" s="1517"/>
      <c r="B83" s="1520"/>
      <c r="C83" s="1520"/>
      <c r="D83" s="1075" t="s">
        <v>14</v>
      </c>
      <c r="E83" s="1522"/>
      <c r="F83" s="1522"/>
      <c r="G83" s="1525"/>
      <c r="H83" s="1144">
        <f>SUM(I83:O83)</f>
        <v>1240000</v>
      </c>
      <c r="I83" s="1147">
        <v>65000</v>
      </c>
      <c r="J83" s="1077"/>
      <c r="K83" s="1077">
        <v>700000</v>
      </c>
      <c r="L83" s="1077">
        <v>475000</v>
      </c>
      <c r="M83" s="1078"/>
      <c r="N83" s="1078"/>
      <c r="O83" s="1100"/>
      <c r="P83" s="1069"/>
    </row>
    <row r="84" spans="1:16" s="10" customFormat="1" ht="15.75" thickBot="1">
      <c r="A84" s="1517"/>
      <c r="B84" s="1520"/>
      <c r="C84" s="1520"/>
      <c r="D84" s="1075" t="s">
        <v>136</v>
      </c>
      <c r="E84" s="1522"/>
      <c r="F84" s="1522"/>
      <c r="G84" s="1525"/>
      <c r="H84" s="1144">
        <f>SUM(I84:O84)</f>
        <v>675000</v>
      </c>
      <c r="I84" s="1147"/>
      <c r="J84" s="1077"/>
      <c r="K84" s="1077">
        <v>200000</v>
      </c>
      <c r="L84" s="1077">
        <v>475000</v>
      </c>
      <c r="M84" s="1078"/>
      <c r="N84" s="1078"/>
      <c r="O84" s="1100"/>
      <c r="P84" s="1103"/>
    </row>
    <row r="85" spans="1:16" s="10" customFormat="1" ht="17.25" thickBot="1" thickTop="1">
      <c r="A85" s="1543" t="s">
        <v>85</v>
      </c>
      <c r="B85" s="1531"/>
      <c r="C85" s="1531"/>
      <c r="D85" s="1531"/>
      <c r="E85" s="1531"/>
      <c r="F85" s="1531"/>
      <c r="G85" s="1531"/>
      <c r="H85" s="1059">
        <f>SUM(I85:O85)</f>
        <v>7100000</v>
      </c>
      <c r="I85" s="1161">
        <f>SUM(I87)</f>
        <v>1000000</v>
      </c>
      <c r="J85" s="1161">
        <f aca="true" t="shared" si="7" ref="J85:O85">SUM(J87)</f>
        <v>3000000</v>
      </c>
      <c r="K85" s="1161">
        <f t="shared" si="7"/>
        <v>3100000</v>
      </c>
      <c r="L85" s="1161">
        <f t="shared" si="7"/>
        <v>0</v>
      </c>
      <c r="M85" s="1161">
        <f t="shared" si="7"/>
        <v>0</v>
      </c>
      <c r="N85" s="1161">
        <f t="shared" si="7"/>
        <v>0</v>
      </c>
      <c r="O85" s="1161">
        <f t="shared" si="7"/>
        <v>0</v>
      </c>
      <c r="P85" s="1080"/>
    </row>
    <row r="86" spans="1:16" s="10" customFormat="1" ht="38.25" customHeight="1">
      <c r="A86" s="1544">
        <v>19</v>
      </c>
      <c r="B86" s="1519">
        <v>900</v>
      </c>
      <c r="C86" s="1519">
        <v>90002</v>
      </c>
      <c r="D86" s="1063" t="s">
        <v>325</v>
      </c>
      <c r="E86" s="1519">
        <v>2008</v>
      </c>
      <c r="F86" s="1519">
        <v>2010</v>
      </c>
      <c r="G86" s="1519" t="s">
        <v>508</v>
      </c>
      <c r="H86" s="1110"/>
      <c r="I86" s="1140"/>
      <c r="J86" s="1066"/>
      <c r="K86" s="1066"/>
      <c r="L86" s="1066"/>
      <c r="M86" s="1067"/>
      <c r="N86" s="1067"/>
      <c r="O86" s="1068"/>
      <c r="P86" s="1098"/>
    </row>
    <row r="87" spans="1:16" s="10" customFormat="1" ht="15.75">
      <c r="A87" s="1553"/>
      <c r="B87" s="1522"/>
      <c r="C87" s="1522"/>
      <c r="D87" s="1070" t="s">
        <v>84</v>
      </c>
      <c r="E87" s="1522"/>
      <c r="F87" s="1522"/>
      <c r="G87" s="1522"/>
      <c r="H87" s="1099">
        <f>SUM(I87:O87)</f>
        <v>7100000</v>
      </c>
      <c r="I87" s="1141">
        <f>SUM(I88:I89)</f>
        <v>1000000</v>
      </c>
      <c r="J87" s="1141">
        <f>SUM(J88:J89)</f>
        <v>3000000</v>
      </c>
      <c r="K87" s="1141">
        <f>SUM(K88:K89)</f>
        <v>3100000</v>
      </c>
      <c r="L87" s="1141"/>
      <c r="M87" s="1142"/>
      <c r="N87" s="1142"/>
      <c r="O87" s="1143"/>
      <c r="P87" s="1069"/>
    </row>
    <row r="88" spans="1:16" s="10" customFormat="1" ht="15">
      <c r="A88" s="1553"/>
      <c r="B88" s="1522"/>
      <c r="C88" s="1522"/>
      <c r="D88" s="1075" t="s">
        <v>14</v>
      </c>
      <c r="E88" s="1554"/>
      <c r="F88" s="1554"/>
      <c r="G88" s="1554"/>
      <c r="H88" s="1144">
        <f>SUM(I88:O88)</f>
        <v>1915000</v>
      </c>
      <c r="I88" s="1077">
        <v>1000000</v>
      </c>
      <c r="J88" s="1077">
        <v>450000</v>
      </c>
      <c r="K88" s="1077">
        <v>465000</v>
      </c>
      <c r="L88" s="1077"/>
      <c r="M88" s="1078"/>
      <c r="N88" s="1078"/>
      <c r="O88" s="1100"/>
      <c r="P88" s="1069"/>
    </row>
    <row r="89" spans="1:16" s="10" customFormat="1" ht="15.75" thickBot="1">
      <c r="A89" s="1518"/>
      <c r="B89" s="1521"/>
      <c r="C89" s="1521"/>
      <c r="D89" s="1104" t="s">
        <v>136</v>
      </c>
      <c r="E89" s="1555"/>
      <c r="F89" s="1555"/>
      <c r="G89" s="1555"/>
      <c r="H89" s="1162">
        <f>SUM(I89:O89)</f>
        <v>5185000</v>
      </c>
      <c r="I89" s="1145"/>
      <c r="J89" s="1106">
        <v>2550000</v>
      </c>
      <c r="K89" s="1106">
        <v>2635000</v>
      </c>
      <c r="L89" s="1106"/>
      <c r="M89" s="1107"/>
      <c r="N89" s="1107"/>
      <c r="O89" s="1108"/>
      <c r="P89" s="1109"/>
    </row>
    <row r="90" spans="1:16" s="10" customFormat="1" ht="15.75">
      <c r="A90" s="1537" t="s">
        <v>595</v>
      </c>
      <c r="B90" s="1527" t="s">
        <v>375</v>
      </c>
      <c r="C90" s="1527" t="s">
        <v>659</v>
      </c>
      <c r="D90" s="1527" t="s">
        <v>433</v>
      </c>
      <c r="E90" s="1549" t="s">
        <v>53</v>
      </c>
      <c r="F90" s="1550"/>
      <c r="G90" s="1527" t="s">
        <v>660</v>
      </c>
      <c r="H90" s="1549" t="s">
        <v>71</v>
      </c>
      <c r="I90" s="1561" t="s">
        <v>434</v>
      </c>
      <c r="J90" s="1562"/>
      <c r="K90" s="1562"/>
      <c r="L90" s="1562"/>
      <c r="M90" s="1562"/>
      <c r="N90" s="1562"/>
      <c r="O90" s="1562"/>
      <c r="P90" s="1563" t="s">
        <v>80</v>
      </c>
    </row>
    <row r="91" spans="1:16" s="10" customFormat="1" ht="15.75">
      <c r="A91" s="1538"/>
      <c r="B91" s="1528"/>
      <c r="C91" s="1528"/>
      <c r="D91" s="1528"/>
      <c r="E91" s="1551"/>
      <c r="F91" s="1552"/>
      <c r="G91" s="1528"/>
      <c r="H91" s="1528"/>
      <c r="I91" s="1528" t="s">
        <v>492</v>
      </c>
      <c r="J91" s="1528" t="s">
        <v>493</v>
      </c>
      <c r="K91" s="1551" t="s">
        <v>81</v>
      </c>
      <c r="L91" s="1566"/>
      <c r="M91" s="1566"/>
      <c r="N91" s="1566"/>
      <c r="O91" s="1566"/>
      <c r="P91" s="1564"/>
    </row>
    <row r="92" spans="1:16" s="10" customFormat="1" ht="38.25" customHeight="1" thickBot="1">
      <c r="A92" s="1539"/>
      <c r="B92" s="1529"/>
      <c r="C92" s="1529"/>
      <c r="D92" s="1529"/>
      <c r="E92" s="1136" t="s">
        <v>435</v>
      </c>
      <c r="F92" s="1136" t="s">
        <v>436</v>
      </c>
      <c r="G92" s="1529"/>
      <c r="H92" s="1560"/>
      <c r="I92" s="1560"/>
      <c r="J92" s="1560"/>
      <c r="K92" s="1137">
        <v>2010</v>
      </c>
      <c r="L92" s="1138">
        <v>2011</v>
      </c>
      <c r="M92" s="1138">
        <v>2012</v>
      </c>
      <c r="N92" s="1138">
        <v>2013</v>
      </c>
      <c r="O92" s="1139" t="s">
        <v>494</v>
      </c>
      <c r="P92" s="1565"/>
    </row>
    <row r="93" spans="1:16" s="10" customFormat="1" ht="15.75" thickBot="1">
      <c r="A93" s="1163">
        <v>1</v>
      </c>
      <c r="B93" s="1164">
        <v>2</v>
      </c>
      <c r="C93" s="1164">
        <v>3</v>
      </c>
      <c r="D93" s="1164">
        <v>4</v>
      </c>
      <c r="E93" s="1165">
        <v>5</v>
      </c>
      <c r="F93" s="1165">
        <v>6</v>
      </c>
      <c r="G93" s="1165">
        <v>7</v>
      </c>
      <c r="H93" s="1166">
        <v>8</v>
      </c>
      <c r="I93" s="1165">
        <v>9</v>
      </c>
      <c r="J93" s="1164">
        <v>10</v>
      </c>
      <c r="K93" s="1164">
        <v>11</v>
      </c>
      <c r="L93" s="1164">
        <v>12</v>
      </c>
      <c r="M93" s="1164">
        <v>13</v>
      </c>
      <c r="N93" s="1164">
        <v>14</v>
      </c>
      <c r="O93" s="1167">
        <v>15</v>
      </c>
      <c r="P93" s="1168">
        <v>16</v>
      </c>
    </row>
    <row r="94" spans="1:16" s="10" customFormat="1" ht="17.25" thickBot="1" thickTop="1">
      <c r="A94" s="1543" t="s">
        <v>94</v>
      </c>
      <c r="B94" s="1531"/>
      <c r="C94" s="1531"/>
      <c r="D94" s="1531"/>
      <c r="E94" s="1531"/>
      <c r="F94" s="1531"/>
      <c r="G94" s="1531"/>
      <c r="H94" s="1059">
        <f>SUM(I94:O94)</f>
        <v>1272000</v>
      </c>
      <c r="I94" s="1161">
        <f>SUM(I96,I99,I102,I105,I108,I111,I114,I117,I120,I123,I126)</f>
        <v>32000</v>
      </c>
      <c r="J94" s="1161">
        <f>SUM(J96,J99,J102,J105,J108,J111,J114,J117,J120,J123,J126)</f>
        <v>225000</v>
      </c>
      <c r="K94" s="1161">
        <f>SUM(K96,K99,K102,K105,K108,K111,K114,K117,K120,K123,K126)</f>
        <v>580000</v>
      </c>
      <c r="L94" s="1161">
        <f>SUM(L96,L99,L102,L105,L108,L111,L114,L117,L120,L123,L126)</f>
        <v>435000</v>
      </c>
      <c r="M94" s="1161">
        <f>SUM(M96,M126)</f>
        <v>0</v>
      </c>
      <c r="N94" s="1161">
        <f>SUM(N96,N126)</f>
        <v>0</v>
      </c>
      <c r="O94" s="1161">
        <f>SUM(O96,O126)</f>
        <v>0</v>
      </c>
      <c r="P94" s="1080"/>
    </row>
    <row r="95" spans="1:16" s="10" customFormat="1" ht="15.75">
      <c r="A95" s="1544">
        <v>20</v>
      </c>
      <c r="B95" s="1519">
        <v>900</v>
      </c>
      <c r="C95" s="1519">
        <v>90015</v>
      </c>
      <c r="D95" s="1063" t="s">
        <v>95</v>
      </c>
      <c r="E95" s="1519">
        <v>2008</v>
      </c>
      <c r="F95" s="1519">
        <v>2009</v>
      </c>
      <c r="G95" s="1524" t="s">
        <v>447</v>
      </c>
      <c r="H95" s="1110"/>
      <c r="I95" s="1097"/>
      <c r="J95" s="1066"/>
      <c r="K95" s="1066"/>
      <c r="L95" s="1066"/>
      <c r="M95" s="1067"/>
      <c r="N95" s="1067"/>
      <c r="O95" s="1068"/>
      <c r="P95" s="1098"/>
    </row>
    <row r="96" spans="1:16" s="10" customFormat="1" ht="15.75">
      <c r="A96" s="1517"/>
      <c r="B96" s="1520"/>
      <c r="C96" s="1520"/>
      <c r="D96" s="1070" t="s">
        <v>84</v>
      </c>
      <c r="E96" s="1522"/>
      <c r="F96" s="1522"/>
      <c r="G96" s="1525"/>
      <c r="H96" s="1099">
        <f>SUM(I96:O96)</f>
        <v>161000</v>
      </c>
      <c r="I96" s="1099">
        <f>SUM(I97:I97)</f>
        <v>11000</v>
      </c>
      <c r="J96" s="1099">
        <f>SUM(J97:J97)</f>
        <v>150000</v>
      </c>
      <c r="K96" s="1099"/>
      <c r="L96" s="1077"/>
      <c r="M96" s="1078"/>
      <c r="N96" s="1078"/>
      <c r="O96" s="1100"/>
      <c r="P96" s="1069"/>
    </row>
    <row r="97" spans="1:16" s="10" customFormat="1" ht="15.75" thickBot="1">
      <c r="A97" s="1517"/>
      <c r="B97" s="1520"/>
      <c r="C97" s="1520"/>
      <c r="D97" s="1075" t="s">
        <v>14</v>
      </c>
      <c r="E97" s="1520"/>
      <c r="F97" s="1520"/>
      <c r="G97" s="1532"/>
      <c r="H97" s="1144">
        <f>SUM(I97:O97)</f>
        <v>161000</v>
      </c>
      <c r="I97" s="1077">
        <v>11000</v>
      </c>
      <c r="J97" s="1077">
        <v>150000</v>
      </c>
      <c r="K97" s="1077"/>
      <c r="L97" s="1077"/>
      <c r="M97" s="1078"/>
      <c r="N97" s="1078"/>
      <c r="O97" s="1100"/>
      <c r="P97" s="1160"/>
    </row>
    <row r="98" spans="1:16" s="10" customFormat="1" ht="36" customHeight="1">
      <c r="A98" s="1544">
        <v>21</v>
      </c>
      <c r="B98" s="1519">
        <v>900</v>
      </c>
      <c r="C98" s="1519">
        <v>90015</v>
      </c>
      <c r="D98" s="1063" t="s">
        <v>509</v>
      </c>
      <c r="E98" s="1519">
        <v>2009</v>
      </c>
      <c r="F98" s="1519">
        <v>2010</v>
      </c>
      <c r="G98" s="1524" t="s">
        <v>447</v>
      </c>
      <c r="H98" s="1110"/>
      <c r="I98" s="1097"/>
      <c r="J98" s="1066"/>
      <c r="K98" s="1066"/>
      <c r="L98" s="1066"/>
      <c r="M98" s="1067"/>
      <c r="N98" s="1067"/>
      <c r="O98" s="1068"/>
      <c r="P98" s="1098"/>
    </row>
    <row r="99" spans="1:16" s="10" customFormat="1" ht="15.75">
      <c r="A99" s="1517"/>
      <c r="B99" s="1520"/>
      <c r="C99" s="1520"/>
      <c r="D99" s="1070" t="s">
        <v>84</v>
      </c>
      <c r="E99" s="1522"/>
      <c r="F99" s="1522"/>
      <c r="G99" s="1525"/>
      <c r="H99" s="1099">
        <f>SUM(I99:O99)</f>
        <v>140000</v>
      </c>
      <c r="I99" s="1099"/>
      <c r="J99" s="1099">
        <f>SUM(J100:J100)</f>
        <v>20000</v>
      </c>
      <c r="K99" s="1099">
        <f>SUM(K100:K100)</f>
        <v>120000</v>
      </c>
      <c r="L99" s="1077"/>
      <c r="M99" s="1078"/>
      <c r="N99" s="1078"/>
      <c r="O99" s="1100"/>
      <c r="P99" s="1069"/>
    </row>
    <row r="100" spans="1:16" s="10" customFormat="1" ht="15.75" customHeight="1" thickBot="1">
      <c r="A100" s="1517"/>
      <c r="B100" s="1520"/>
      <c r="C100" s="1520"/>
      <c r="D100" s="1075" t="s">
        <v>14</v>
      </c>
      <c r="E100" s="1520"/>
      <c r="F100" s="1520"/>
      <c r="G100" s="1532"/>
      <c r="H100" s="1144">
        <f>SUM(I100:O100)</f>
        <v>140000</v>
      </c>
      <c r="I100" s="1077"/>
      <c r="J100" s="1077">
        <v>20000</v>
      </c>
      <c r="K100" s="1077">
        <v>120000</v>
      </c>
      <c r="L100" s="1077"/>
      <c r="M100" s="1078"/>
      <c r="N100" s="1078"/>
      <c r="O100" s="1100"/>
      <c r="P100" s="1160"/>
    </row>
    <row r="101" spans="1:16" s="10" customFormat="1" ht="32.25" customHeight="1">
      <c r="A101" s="1544">
        <v>22</v>
      </c>
      <c r="B101" s="1519">
        <v>900</v>
      </c>
      <c r="C101" s="1519">
        <v>90015</v>
      </c>
      <c r="D101" s="1063" t="s">
        <v>329</v>
      </c>
      <c r="E101" s="1519">
        <v>2010</v>
      </c>
      <c r="F101" s="1519">
        <v>2011</v>
      </c>
      <c r="G101" s="1524" t="s">
        <v>447</v>
      </c>
      <c r="H101" s="1110"/>
      <c r="I101" s="1097"/>
      <c r="J101" s="1066"/>
      <c r="K101" s="1066"/>
      <c r="L101" s="1066"/>
      <c r="M101" s="1067"/>
      <c r="N101" s="1067"/>
      <c r="O101" s="1068"/>
      <c r="P101" s="1098"/>
    </row>
    <row r="102" spans="1:16" s="10" customFormat="1" ht="15.75">
      <c r="A102" s="1517"/>
      <c r="B102" s="1520"/>
      <c r="C102" s="1520"/>
      <c r="D102" s="1070" t="s">
        <v>84</v>
      </c>
      <c r="E102" s="1522"/>
      <c r="F102" s="1522"/>
      <c r="G102" s="1525"/>
      <c r="H102" s="1099">
        <f>SUM(I102:O102)</f>
        <v>55000</v>
      </c>
      <c r="I102" s="1099"/>
      <c r="J102" s="1099"/>
      <c r="K102" s="1099">
        <f>SUM(K103:K103)</f>
        <v>15000</v>
      </c>
      <c r="L102" s="1099">
        <f>SUM(L103:L103)</f>
        <v>40000</v>
      </c>
      <c r="M102" s="1078"/>
      <c r="N102" s="1078"/>
      <c r="O102" s="1100"/>
      <c r="P102" s="1069"/>
    </row>
    <row r="103" spans="1:16" s="10" customFormat="1" ht="15.75" thickBot="1">
      <c r="A103" s="1517"/>
      <c r="B103" s="1520"/>
      <c r="C103" s="1520"/>
      <c r="D103" s="1075" t="s">
        <v>14</v>
      </c>
      <c r="E103" s="1520"/>
      <c r="F103" s="1520"/>
      <c r="G103" s="1532"/>
      <c r="H103" s="1144">
        <f>SUM(I103:O103)</f>
        <v>55000</v>
      </c>
      <c r="I103" s="1077"/>
      <c r="J103" s="1077"/>
      <c r="K103" s="1077">
        <v>15000</v>
      </c>
      <c r="L103" s="1077">
        <v>40000</v>
      </c>
      <c r="M103" s="1078"/>
      <c r="N103" s="1078"/>
      <c r="O103" s="1100"/>
      <c r="P103" s="1160"/>
    </row>
    <row r="104" spans="1:16" s="10" customFormat="1" ht="15.75">
      <c r="A104" s="1544">
        <v>23</v>
      </c>
      <c r="B104" s="1519">
        <v>900</v>
      </c>
      <c r="C104" s="1519">
        <v>90015</v>
      </c>
      <c r="D104" s="1063" t="s">
        <v>510</v>
      </c>
      <c r="E104" s="1519">
        <v>2009</v>
      </c>
      <c r="F104" s="1519">
        <v>2010</v>
      </c>
      <c r="G104" s="1524" t="s">
        <v>447</v>
      </c>
      <c r="H104" s="1110"/>
      <c r="I104" s="1097"/>
      <c r="J104" s="1066"/>
      <c r="K104" s="1066"/>
      <c r="L104" s="1066"/>
      <c r="M104" s="1067"/>
      <c r="N104" s="1067"/>
      <c r="O104" s="1068"/>
      <c r="P104" s="1098"/>
    </row>
    <row r="105" spans="1:16" s="10" customFormat="1" ht="17.25" customHeight="1">
      <c r="A105" s="1517"/>
      <c r="B105" s="1520"/>
      <c r="C105" s="1520"/>
      <c r="D105" s="1070" t="s">
        <v>84</v>
      </c>
      <c r="E105" s="1522"/>
      <c r="F105" s="1522"/>
      <c r="G105" s="1525"/>
      <c r="H105" s="1099">
        <f>SUM(I105:O105)</f>
        <v>125000</v>
      </c>
      <c r="I105" s="1099"/>
      <c r="J105" s="1099">
        <f>SUM(J106:J106)</f>
        <v>25000</v>
      </c>
      <c r="K105" s="1099">
        <f>SUM(K106:K106)</f>
        <v>100000</v>
      </c>
      <c r="L105" s="1077"/>
      <c r="M105" s="1078"/>
      <c r="N105" s="1078"/>
      <c r="O105" s="1100"/>
      <c r="P105" s="1069"/>
    </row>
    <row r="106" spans="1:16" s="10" customFormat="1" ht="15.75" thickBot="1">
      <c r="A106" s="1517"/>
      <c r="B106" s="1520"/>
      <c r="C106" s="1520"/>
      <c r="D106" s="1075" t="s">
        <v>14</v>
      </c>
      <c r="E106" s="1520"/>
      <c r="F106" s="1520"/>
      <c r="G106" s="1532"/>
      <c r="H106" s="1144">
        <f>SUM(I106:O106)</f>
        <v>125000</v>
      </c>
      <c r="I106" s="1077"/>
      <c r="J106" s="1077">
        <v>25000</v>
      </c>
      <c r="K106" s="1077">
        <v>100000</v>
      </c>
      <c r="L106" s="1077"/>
      <c r="M106" s="1078"/>
      <c r="N106" s="1078"/>
      <c r="O106" s="1100"/>
      <c r="P106" s="1160"/>
    </row>
    <row r="107" spans="1:16" s="10" customFormat="1" ht="15.75">
      <c r="A107" s="1544">
        <v>24</v>
      </c>
      <c r="B107" s="1519">
        <v>900</v>
      </c>
      <c r="C107" s="1519">
        <v>90015</v>
      </c>
      <c r="D107" s="1063" t="s">
        <v>511</v>
      </c>
      <c r="E107" s="1519">
        <v>2009</v>
      </c>
      <c r="F107" s="1519">
        <v>2010</v>
      </c>
      <c r="G107" s="1524" t="s">
        <v>447</v>
      </c>
      <c r="H107" s="1110"/>
      <c r="I107" s="1097"/>
      <c r="J107" s="1066"/>
      <c r="K107" s="1066"/>
      <c r="L107" s="1066"/>
      <c r="M107" s="1067"/>
      <c r="N107" s="1067"/>
      <c r="O107" s="1068"/>
      <c r="P107" s="1098"/>
    </row>
    <row r="108" spans="1:16" s="10" customFormat="1" ht="15.75">
      <c r="A108" s="1517"/>
      <c r="B108" s="1520"/>
      <c r="C108" s="1520"/>
      <c r="D108" s="1070" t="s">
        <v>84</v>
      </c>
      <c r="E108" s="1522"/>
      <c r="F108" s="1522"/>
      <c r="G108" s="1525"/>
      <c r="H108" s="1099">
        <f>SUM(I108:O108)</f>
        <v>95000</v>
      </c>
      <c r="I108" s="1099"/>
      <c r="J108" s="1099">
        <f>SUM(J109:J109)</f>
        <v>15000</v>
      </c>
      <c r="K108" s="1099">
        <f>SUM(K109:K109)</f>
        <v>80000</v>
      </c>
      <c r="L108" s="1077"/>
      <c r="M108" s="1078"/>
      <c r="N108" s="1078"/>
      <c r="O108" s="1100"/>
      <c r="P108" s="1069"/>
    </row>
    <row r="109" spans="1:16" s="10" customFormat="1" ht="15.75" thickBot="1">
      <c r="A109" s="1517"/>
      <c r="B109" s="1520"/>
      <c r="C109" s="1520"/>
      <c r="D109" s="1075" t="s">
        <v>14</v>
      </c>
      <c r="E109" s="1520"/>
      <c r="F109" s="1520"/>
      <c r="G109" s="1532"/>
      <c r="H109" s="1144">
        <f>SUM(I109:O109)</f>
        <v>95000</v>
      </c>
      <c r="I109" s="1077"/>
      <c r="J109" s="1077">
        <v>15000</v>
      </c>
      <c r="K109" s="1077">
        <v>80000</v>
      </c>
      <c r="L109" s="1077"/>
      <c r="M109" s="1078"/>
      <c r="N109" s="1078"/>
      <c r="O109" s="1100"/>
      <c r="P109" s="1160"/>
    </row>
    <row r="110" spans="1:16" s="10" customFormat="1" ht="17.25" customHeight="1">
      <c r="A110" s="1544">
        <v>25</v>
      </c>
      <c r="B110" s="1519">
        <v>900</v>
      </c>
      <c r="C110" s="1519">
        <v>90015</v>
      </c>
      <c r="D110" s="1063" t="s">
        <v>512</v>
      </c>
      <c r="E110" s="1519">
        <v>2010</v>
      </c>
      <c r="F110" s="1519">
        <v>2011</v>
      </c>
      <c r="G110" s="1524" t="s">
        <v>447</v>
      </c>
      <c r="H110" s="1110"/>
      <c r="I110" s="1097"/>
      <c r="J110" s="1066"/>
      <c r="K110" s="1066"/>
      <c r="L110" s="1066"/>
      <c r="M110" s="1067"/>
      <c r="N110" s="1067"/>
      <c r="O110" s="1068"/>
      <c r="P110" s="1098"/>
    </row>
    <row r="111" spans="1:16" s="10" customFormat="1" ht="15.75">
      <c r="A111" s="1517"/>
      <c r="B111" s="1520"/>
      <c r="C111" s="1520"/>
      <c r="D111" s="1070" t="s">
        <v>84</v>
      </c>
      <c r="E111" s="1522"/>
      <c r="F111" s="1522"/>
      <c r="G111" s="1525"/>
      <c r="H111" s="1099">
        <f>SUM(I111:O111)</f>
        <v>110000</v>
      </c>
      <c r="I111" s="1099"/>
      <c r="J111" s="1099"/>
      <c r="K111" s="1099">
        <f>SUM(K112:K112)</f>
        <v>20000</v>
      </c>
      <c r="L111" s="1099">
        <f>SUM(L112:L112)</f>
        <v>90000</v>
      </c>
      <c r="M111" s="1078"/>
      <c r="N111" s="1078"/>
      <c r="O111" s="1100"/>
      <c r="P111" s="1069"/>
    </row>
    <row r="112" spans="1:16" s="10" customFormat="1" ht="15.75" thickBot="1">
      <c r="A112" s="1517"/>
      <c r="B112" s="1520"/>
      <c r="C112" s="1520"/>
      <c r="D112" s="1075" t="s">
        <v>14</v>
      </c>
      <c r="E112" s="1520"/>
      <c r="F112" s="1520"/>
      <c r="G112" s="1532"/>
      <c r="H112" s="1144">
        <f>SUM(I112:O112)</f>
        <v>110000</v>
      </c>
      <c r="I112" s="1077"/>
      <c r="J112" s="1077"/>
      <c r="K112" s="1077">
        <v>20000</v>
      </c>
      <c r="L112" s="1077">
        <v>90000</v>
      </c>
      <c r="M112" s="1078"/>
      <c r="N112" s="1078"/>
      <c r="O112" s="1100"/>
      <c r="P112" s="1160"/>
    </row>
    <row r="113" spans="1:16" s="10" customFormat="1" ht="36" customHeight="1">
      <c r="A113" s="1544">
        <v>26</v>
      </c>
      <c r="B113" s="1519">
        <v>900</v>
      </c>
      <c r="C113" s="1519">
        <v>90015</v>
      </c>
      <c r="D113" s="1063" t="s">
        <v>326</v>
      </c>
      <c r="E113" s="1519">
        <v>2010</v>
      </c>
      <c r="F113" s="1519">
        <v>2011</v>
      </c>
      <c r="G113" s="1524" t="s">
        <v>447</v>
      </c>
      <c r="H113" s="1110"/>
      <c r="I113" s="1097"/>
      <c r="J113" s="1066"/>
      <c r="K113" s="1066"/>
      <c r="L113" s="1066"/>
      <c r="M113" s="1067"/>
      <c r="N113" s="1067"/>
      <c r="O113" s="1068"/>
      <c r="P113" s="1098"/>
    </row>
    <row r="114" spans="1:16" s="10" customFormat="1" ht="15.75">
      <c r="A114" s="1517"/>
      <c r="B114" s="1520"/>
      <c r="C114" s="1520"/>
      <c r="D114" s="1070" t="s">
        <v>84</v>
      </c>
      <c r="E114" s="1522"/>
      <c r="F114" s="1522"/>
      <c r="G114" s="1525"/>
      <c r="H114" s="1099">
        <f>SUM(I114:O114)</f>
        <v>60000</v>
      </c>
      <c r="I114" s="1099"/>
      <c r="J114" s="1099"/>
      <c r="K114" s="1099">
        <f>SUM(K115:K115)</f>
        <v>15000</v>
      </c>
      <c r="L114" s="1099">
        <f>SUM(L115:L115)</f>
        <v>45000</v>
      </c>
      <c r="M114" s="1078"/>
      <c r="N114" s="1078"/>
      <c r="O114" s="1100"/>
      <c r="P114" s="1069"/>
    </row>
    <row r="115" spans="1:16" s="10" customFormat="1" ht="15.75" thickBot="1">
      <c r="A115" s="1517"/>
      <c r="B115" s="1520"/>
      <c r="C115" s="1520"/>
      <c r="D115" s="1075" t="s">
        <v>14</v>
      </c>
      <c r="E115" s="1520"/>
      <c r="F115" s="1520"/>
      <c r="G115" s="1532"/>
      <c r="H115" s="1144">
        <f>SUM(I115:O115)</f>
        <v>60000</v>
      </c>
      <c r="I115" s="1077"/>
      <c r="J115" s="1077"/>
      <c r="K115" s="1077">
        <v>15000</v>
      </c>
      <c r="L115" s="1077">
        <v>45000</v>
      </c>
      <c r="M115" s="1078"/>
      <c r="N115" s="1078"/>
      <c r="O115" s="1100"/>
      <c r="P115" s="1160"/>
    </row>
    <row r="116" spans="1:16" s="10" customFormat="1" ht="15.75">
      <c r="A116" s="1544">
        <v>27</v>
      </c>
      <c r="B116" s="1519">
        <v>900</v>
      </c>
      <c r="C116" s="1519">
        <v>90015</v>
      </c>
      <c r="D116" s="1063" t="s">
        <v>513</v>
      </c>
      <c r="E116" s="1519">
        <v>2010</v>
      </c>
      <c r="F116" s="1519">
        <v>2011</v>
      </c>
      <c r="G116" s="1524" t="s">
        <v>447</v>
      </c>
      <c r="H116" s="1110"/>
      <c r="I116" s="1097"/>
      <c r="J116" s="1066"/>
      <c r="K116" s="1066"/>
      <c r="L116" s="1066"/>
      <c r="M116" s="1067"/>
      <c r="N116" s="1067"/>
      <c r="O116" s="1068"/>
      <c r="P116" s="1098"/>
    </row>
    <row r="117" spans="1:16" s="10" customFormat="1" ht="15.75">
      <c r="A117" s="1517"/>
      <c r="B117" s="1520"/>
      <c r="C117" s="1520"/>
      <c r="D117" s="1070" t="s">
        <v>84</v>
      </c>
      <c r="E117" s="1522"/>
      <c r="F117" s="1522"/>
      <c r="G117" s="1525"/>
      <c r="H117" s="1099">
        <f>SUM(I117:O117)</f>
        <v>105000</v>
      </c>
      <c r="I117" s="1099"/>
      <c r="J117" s="1099"/>
      <c r="K117" s="1099">
        <f>SUM(K118:K118)</f>
        <v>25000</v>
      </c>
      <c r="L117" s="1099">
        <f>SUM(L118:L118)</f>
        <v>80000</v>
      </c>
      <c r="M117" s="1078"/>
      <c r="N117" s="1078"/>
      <c r="O117" s="1100"/>
      <c r="P117" s="1069"/>
    </row>
    <row r="118" spans="1:16" s="10" customFormat="1" ht="15.75" thickBot="1">
      <c r="A118" s="1517"/>
      <c r="B118" s="1520"/>
      <c r="C118" s="1520"/>
      <c r="D118" s="1075" t="s">
        <v>14</v>
      </c>
      <c r="E118" s="1520"/>
      <c r="F118" s="1520"/>
      <c r="G118" s="1532"/>
      <c r="H118" s="1144">
        <f>SUM(I118:O118)</f>
        <v>105000</v>
      </c>
      <c r="I118" s="1077"/>
      <c r="J118" s="1077"/>
      <c r="K118" s="1077">
        <v>25000</v>
      </c>
      <c r="L118" s="1077">
        <v>80000</v>
      </c>
      <c r="M118" s="1078"/>
      <c r="N118" s="1078"/>
      <c r="O118" s="1100"/>
      <c r="P118" s="1160"/>
    </row>
    <row r="119" spans="1:16" s="10" customFormat="1" ht="15.75">
      <c r="A119" s="1544">
        <v>28</v>
      </c>
      <c r="B119" s="1519">
        <v>900</v>
      </c>
      <c r="C119" s="1519">
        <v>90015</v>
      </c>
      <c r="D119" s="1063" t="s">
        <v>514</v>
      </c>
      <c r="E119" s="1519">
        <v>2009</v>
      </c>
      <c r="F119" s="1519">
        <v>2010</v>
      </c>
      <c r="G119" s="1524" t="s">
        <v>447</v>
      </c>
      <c r="H119" s="1110"/>
      <c r="I119" s="1097"/>
      <c r="J119" s="1066"/>
      <c r="K119" s="1066"/>
      <c r="L119" s="1066"/>
      <c r="M119" s="1067"/>
      <c r="N119" s="1067"/>
      <c r="O119" s="1068"/>
      <c r="P119" s="1098"/>
    </row>
    <row r="120" spans="1:16" s="10" customFormat="1" ht="15.75">
      <c r="A120" s="1517"/>
      <c r="B120" s="1520"/>
      <c r="C120" s="1520"/>
      <c r="D120" s="1070" t="s">
        <v>84</v>
      </c>
      <c r="E120" s="1522"/>
      <c r="F120" s="1522"/>
      <c r="G120" s="1525"/>
      <c r="H120" s="1099">
        <f>SUM(I120:O120)</f>
        <v>55000</v>
      </c>
      <c r="I120" s="1099"/>
      <c r="J120" s="1099">
        <f>SUM(J121:J121)</f>
        <v>15000</v>
      </c>
      <c r="K120" s="1099">
        <f>SUM(K121:K121)</f>
        <v>40000</v>
      </c>
      <c r="L120" s="1077"/>
      <c r="M120" s="1078"/>
      <c r="N120" s="1078"/>
      <c r="O120" s="1100"/>
      <c r="P120" s="1069"/>
    </row>
    <row r="121" spans="1:16" s="10" customFormat="1" ht="15.75" thickBot="1">
      <c r="A121" s="1517"/>
      <c r="B121" s="1520"/>
      <c r="C121" s="1520"/>
      <c r="D121" s="1075" t="s">
        <v>14</v>
      </c>
      <c r="E121" s="1520"/>
      <c r="F121" s="1520"/>
      <c r="G121" s="1532"/>
      <c r="H121" s="1144">
        <f>SUM(I121:O121)</f>
        <v>55000</v>
      </c>
      <c r="I121" s="1077"/>
      <c r="J121" s="1077">
        <v>15000</v>
      </c>
      <c r="K121" s="1077">
        <v>40000</v>
      </c>
      <c r="L121" s="1077"/>
      <c r="M121" s="1078"/>
      <c r="N121" s="1078"/>
      <c r="O121" s="1100"/>
      <c r="P121" s="1160"/>
    </row>
    <row r="122" spans="1:16" s="10" customFormat="1" ht="15.75">
      <c r="A122" s="1544">
        <v>29</v>
      </c>
      <c r="B122" s="1519">
        <v>900</v>
      </c>
      <c r="C122" s="1519">
        <v>90015</v>
      </c>
      <c r="D122" s="1063" t="s">
        <v>515</v>
      </c>
      <c r="E122" s="1519">
        <v>2009</v>
      </c>
      <c r="F122" s="1519">
        <v>2011</v>
      </c>
      <c r="G122" s="1524" t="s">
        <v>447</v>
      </c>
      <c r="H122" s="1110"/>
      <c r="I122" s="1097"/>
      <c r="J122" s="1066"/>
      <c r="K122" s="1066"/>
      <c r="L122" s="1066"/>
      <c r="M122" s="1067"/>
      <c r="N122" s="1067"/>
      <c r="O122" s="1068"/>
      <c r="P122" s="1098"/>
    </row>
    <row r="123" spans="1:16" s="1258" customFormat="1" ht="17.25" customHeight="1">
      <c r="A123" s="1517"/>
      <c r="B123" s="1520"/>
      <c r="C123" s="1520"/>
      <c r="D123" s="1070" t="s">
        <v>84</v>
      </c>
      <c r="E123" s="1522"/>
      <c r="F123" s="1522"/>
      <c r="G123" s="1525"/>
      <c r="H123" s="1099">
        <f>SUM(I123:O123)</f>
        <v>45000</v>
      </c>
      <c r="I123" s="1099"/>
      <c r="J123" s="1099"/>
      <c r="K123" s="1099">
        <f>SUM(K124:K124)</f>
        <v>15000</v>
      </c>
      <c r="L123" s="1099">
        <f>SUM(L124:L124)</f>
        <v>30000</v>
      </c>
      <c r="M123" s="1078"/>
      <c r="N123" s="1078"/>
      <c r="O123" s="1100"/>
      <c r="P123" s="1069"/>
    </row>
    <row r="124" spans="1:16" s="10" customFormat="1" ht="15.75" thickBot="1">
      <c r="A124" s="1517"/>
      <c r="B124" s="1520"/>
      <c r="C124" s="1520"/>
      <c r="D124" s="1075" t="s">
        <v>14</v>
      </c>
      <c r="E124" s="1520"/>
      <c r="F124" s="1520"/>
      <c r="G124" s="1532"/>
      <c r="H124" s="1144">
        <f>SUM(I124:O124)</f>
        <v>45000</v>
      </c>
      <c r="I124" s="1077"/>
      <c r="J124" s="1077"/>
      <c r="K124" s="1077">
        <v>15000</v>
      </c>
      <c r="L124" s="1077">
        <v>30000</v>
      </c>
      <c r="M124" s="1078"/>
      <c r="N124" s="1078"/>
      <c r="O124" s="1100"/>
      <c r="P124" s="1160"/>
    </row>
    <row r="125" spans="1:16" s="10" customFormat="1" ht="15.75">
      <c r="A125" s="1544">
        <v>30</v>
      </c>
      <c r="B125" s="1519">
        <v>900</v>
      </c>
      <c r="C125" s="1519">
        <v>90015</v>
      </c>
      <c r="D125" s="1063" t="s">
        <v>96</v>
      </c>
      <c r="E125" s="1519">
        <v>2008</v>
      </c>
      <c r="F125" s="1519">
        <v>2010</v>
      </c>
      <c r="G125" s="1524" t="s">
        <v>447</v>
      </c>
      <c r="H125" s="1110"/>
      <c r="I125" s="1097"/>
      <c r="J125" s="1066"/>
      <c r="K125" s="1066"/>
      <c r="L125" s="1066"/>
      <c r="M125" s="1067"/>
      <c r="N125" s="1067"/>
      <c r="O125" s="1068"/>
      <c r="P125" s="1098"/>
    </row>
    <row r="126" spans="1:16" s="10" customFormat="1" ht="15.75">
      <c r="A126" s="1517"/>
      <c r="B126" s="1520"/>
      <c r="C126" s="1520"/>
      <c r="D126" s="1070" t="s">
        <v>84</v>
      </c>
      <c r="E126" s="1522"/>
      <c r="F126" s="1522"/>
      <c r="G126" s="1525"/>
      <c r="H126" s="1099">
        <f>SUM(I126:O126)</f>
        <v>321000</v>
      </c>
      <c r="I126" s="1099">
        <f>SUM(I127:I127)</f>
        <v>21000</v>
      </c>
      <c r="J126" s="1099"/>
      <c r="K126" s="1099">
        <f>SUM(K127:K127)</f>
        <v>150000</v>
      </c>
      <c r="L126" s="1099">
        <f>SUM(L127:L127)</f>
        <v>150000</v>
      </c>
      <c r="M126" s="1078"/>
      <c r="N126" s="1078"/>
      <c r="O126" s="1100"/>
      <c r="P126" s="1069"/>
    </row>
    <row r="127" spans="1:16" s="10" customFormat="1" ht="17.25" customHeight="1" thickBot="1">
      <c r="A127" s="1517"/>
      <c r="B127" s="1520"/>
      <c r="C127" s="1520"/>
      <c r="D127" s="1075" t="s">
        <v>14</v>
      </c>
      <c r="E127" s="1520"/>
      <c r="F127" s="1520"/>
      <c r="G127" s="1532"/>
      <c r="H127" s="1144">
        <f>SUM(I127:O127)</f>
        <v>321000</v>
      </c>
      <c r="I127" s="1077">
        <v>21000</v>
      </c>
      <c r="J127" s="1077"/>
      <c r="K127" s="1077">
        <v>150000</v>
      </c>
      <c r="L127" s="1077">
        <v>150000</v>
      </c>
      <c r="M127" s="1078"/>
      <c r="N127" s="1078"/>
      <c r="O127" s="1100"/>
      <c r="P127" s="1069"/>
    </row>
    <row r="128" spans="1:16" s="10" customFormat="1" ht="17.25" customHeight="1" thickBot="1" thickTop="1">
      <c r="A128" s="1543" t="s">
        <v>504</v>
      </c>
      <c r="B128" s="1531"/>
      <c r="C128" s="1531"/>
      <c r="D128" s="1531"/>
      <c r="E128" s="1531"/>
      <c r="F128" s="1531"/>
      <c r="G128" s="1531"/>
      <c r="H128" s="1169">
        <f>SUM(H130)</f>
        <v>6800280</v>
      </c>
      <c r="I128" s="1169">
        <f aca="true" t="shared" si="8" ref="I128:O128">SUM(I130)</f>
        <v>0</v>
      </c>
      <c r="J128" s="1169">
        <f t="shared" si="8"/>
        <v>800280</v>
      </c>
      <c r="K128" s="1169">
        <f t="shared" si="8"/>
        <v>3000000</v>
      </c>
      <c r="L128" s="1169">
        <f t="shared" si="8"/>
        <v>3000000</v>
      </c>
      <c r="M128" s="1169">
        <f t="shared" si="8"/>
        <v>0</v>
      </c>
      <c r="N128" s="1169">
        <f t="shared" si="8"/>
        <v>0</v>
      </c>
      <c r="O128" s="1169">
        <f t="shared" si="8"/>
        <v>0</v>
      </c>
      <c r="P128" s="1061"/>
    </row>
    <row r="129" spans="1:16" s="10" customFormat="1" ht="49.5" customHeight="1">
      <c r="A129" s="1544">
        <v>31</v>
      </c>
      <c r="B129" s="1519">
        <v>900</v>
      </c>
      <c r="C129" s="1519">
        <v>90095</v>
      </c>
      <c r="D129" s="1063" t="s">
        <v>505</v>
      </c>
      <c r="E129" s="1519">
        <v>2009</v>
      </c>
      <c r="F129" s="1519">
        <v>2011</v>
      </c>
      <c r="G129" s="1524" t="s">
        <v>79</v>
      </c>
      <c r="H129" s="1110"/>
      <c r="I129" s="1097"/>
      <c r="J129" s="1066"/>
      <c r="K129" s="1066"/>
      <c r="L129" s="1066"/>
      <c r="M129" s="1067"/>
      <c r="N129" s="1067"/>
      <c r="O129" s="1068"/>
      <c r="P129" s="1098"/>
    </row>
    <row r="130" spans="1:16" s="10" customFormat="1" ht="15.75">
      <c r="A130" s="1517"/>
      <c r="B130" s="1520"/>
      <c r="C130" s="1520"/>
      <c r="D130" s="1070" t="s">
        <v>84</v>
      </c>
      <c r="E130" s="1522"/>
      <c r="F130" s="1522"/>
      <c r="G130" s="1525"/>
      <c r="H130" s="1099">
        <f>SUM(I130:O130)</f>
        <v>6800280</v>
      </c>
      <c r="I130" s="1072">
        <f>SUM(I132:I133)</f>
        <v>0</v>
      </c>
      <c r="J130" s="1072">
        <f>SUM(J131:J133)</f>
        <v>800280</v>
      </c>
      <c r="K130" s="1072">
        <f>SUM(K131:K133)</f>
        <v>3000000</v>
      </c>
      <c r="L130" s="1072">
        <f>SUM(L131:L133)</f>
        <v>3000000</v>
      </c>
      <c r="M130" s="1072"/>
      <c r="N130" s="1078"/>
      <c r="O130" s="1100"/>
      <c r="P130" s="1069"/>
    </row>
    <row r="131" spans="1:16" s="330" customFormat="1" ht="15.75">
      <c r="A131" s="1517"/>
      <c r="B131" s="1520"/>
      <c r="C131" s="1520"/>
      <c r="D131" s="1075" t="s">
        <v>14</v>
      </c>
      <c r="E131" s="1522"/>
      <c r="F131" s="1522"/>
      <c r="G131" s="1525"/>
      <c r="H131" s="1144">
        <f>SUM(I131:O131)</f>
        <v>50000</v>
      </c>
      <c r="I131" s="1072"/>
      <c r="J131" s="1234">
        <v>50000</v>
      </c>
      <c r="K131" s="1234"/>
      <c r="L131" s="1234"/>
      <c r="M131" s="1234"/>
      <c r="N131" s="1231"/>
      <c r="O131" s="1232"/>
      <c r="P131" s="1233"/>
    </row>
    <row r="132" spans="1:16" s="10" customFormat="1" ht="15">
      <c r="A132" s="1517"/>
      <c r="B132" s="1520"/>
      <c r="C132" s="1520"/>
      <c r="D132" s="1075" t="s">
        <v>136</v>
      </c>
      <c r="E132" s="1520"/>
      <c r="F132" s="1520"/>
      <c r="G132" s="1532"/>
      <c r="H132" s="1144">
        <f>SUM(I132:O132)</f>
        <v>5250280</v>
      </c>
      <c r="I132" s="1102"/>
      <c r="J132" s="1077">
        <v>637738</v>
      </c>
      <c r="K132" s="1077">
        <v>2550000</v>
      </c>
      <c r="L132" s="1078">
        <v>2062542</v>
      </c>
      <c r="M132" s="1078"/>
      <c r="N132" s="1078"/>
      <c r="O132" s="1100"/>
      <c r="P132" s="1069"/>
    </row>
    <row r="133" spans="1:16" s="10" customFormat="1" ht="15.75" thickBot="1">
      <c r="A133" s="1518"/>
      <c r="B133" s="1521"/>
      <c r="C133" s="1521"/>
      <c r="D133" s="1104" t="s">
        <v>543</v>
      </c>
      <c r="E133" s="1521"/>
      <c r="F133" s="1521"/>
      <c r="G133" s="1572"/>
      <c r="H133" s="1162">
        <f>SUM(I133:O133)</f>
        <v>1500000</v>
      </c>
      <c r="I133" s="1105"/>
      <c r="J133" s="1106">
        <v>112542</v>
      </c>
      <c r="K133" s="1106">
        <v>450000</v>
      </c>
      <c r="L133" s="1107">
        <v>937458</v>
      </c>
      <c r="M133" s="1107"/>
      <c r="N133" s="1107"/>
      <c r="O133" s="1108"/>
      <c r="P133" s="1160"/>
    </row>
    <row r="134" spans="1:16" s="10" customFormat="1" ht="17.25" thickBot="1" thickTop="1">
      <c r="A134" s="1543" t="s">
        <v>449</v>
      </c>
      <c r="B134" s="1531"/>
      <c r="C134" s="1531"/>
      <c r="D134" s="1531"/>
      <c r="E134" s="1531"/>
      <c r="F134" s="1531"/>
      <c r="G134" s="1531"/>
      <c r="H134" s="1059">
        <f>SUM(I134:O134)</f>
        <v>8653000</v>
      </c>
      <c r="I134" s="1169">
        <f>SUM(I136,I140)</f>
        <v>640000</v>
      </c>
      <c r="J134" s="1169">
        <f>SUM(J136,J140)</f>
        <v>2000000</v>
      </c>
      <c r="K134" s="1169">
        <f>SUM(K136,K140)</f>
        <v>2000000</v>
      </c>
      <c r="L134" s="1169">
        <f>SUM(L136,L140)</f>
        <v>3163000</v>
      </c>
      <c r="M134" s="1161">
        <f>SUM(M136)</f>
        <v>850000</v>
      </c>
      <c r="N134" s="1161">
        <f>SUM(N136)</f>
        <v>0</v>
      </c>
      <c r="O134" s="1161">
        <f>SUM(O136)</f>
        <v>0</v>
      </c>
      <c r="P134" s="1061"/>
    </row>
    <row r="135" spans="1:16" s="10" customFormat="1" ht="15.75">
      <c r="A135" s="1544">
        <v>32</v>
      </c>
      <c r="B135" s="1519">
        <v>900</v>
      </c>
      <c r="C135" s="1519">
        <v>90095</v>
      </c>
      <c r="D135" s="1063" t="s">
        <v>76</v>
      </c>
      <c r="E135" s="1519">
        <v>2007</v>
      </c>
      <c r="F135" s="1519">
        <v>2012</v>
      </c>
      <c r="G135" s="1524" t="s">
        <v>447</v>
      </c>
      <c r="H135" s="1110"/>
      <c r="I135" s="1097"/>
      <c r="J135" s="1066"/>
      <c r="K135" s="1066"/>
      <c r="L135" s="1066"/>
      <c r="M135" s="1067"/>
      <c r="N135" s="1067"/>
      <c r="O135" s="1068"/>
      <c r="P135" s="1098"/>
    </row>
    <row r="136" spans="1:16" s="10" customFormat="1" ht="15.75">
      <c r="A136" s="1517"/>
      <c r="B136" s="1520"/>
      <c r="C136" s="1520"/>
      <c r="D136" s="1070" t="s">
        <v>84</v>
      </c>
      <c r="E136" s="1522"/>
      <c r="F136" s="1522"/>
      <c r="G136" s="1525"/>
      <c r="H136" s="1099">
        <f>SUM(I136:O136)</f>
        <v>1710000</v>
      </c>
      <c r="I136" s="1072">
        <f>SUM(I137:I138)</f>
        <v>10000</v>
      </c>
      <c r="J136" s="1072"/>
      <c r="K136" s="1072"/>
      <c r="L136" s="1072">
        <f>SUM(L137:L138)</f>
        <v>850000</v>
      </c>
      <c r="M136" s="1072">
        <f>SUM(M137:M138)</f>
        <v>850000</v>
      </c>
      <c r="N136" s="1078"/>
      <c r="O136" s="1100"/>
      <c r="P136" s="1069"/>
    </row>
    <row r="137" spans="1:16" s="10" customFormat="1" ht="15">
      <c r="A137" s="1517"/>
      <c r="B137" s="1520"/>
      <c r="C137" s="1520"/>
      <c r="D137" s="1075" t="s">
        <v>14</v>
      </c>
      <c r="E137" s="1520"/>
      <c r="F137" s="1520"/>
      <c r="G137" s="1532"/>
      <c r="H137" s="1144">
        <f>SUM(I137:O137)</f>
        <v>860000</v>
      </c>
      <c r="I137" s="1102">
        <v>10000</v>
      </c>
      <c r="J137" s="1077"/>
      <c r="K137" s="1077"/>
      <c r="L137" s="1077">
        <v>425000</v>
      </c>
      <c r="M137" s="1078">
        <v>425000</v>
      </c>
      <c r="N137" s="1078"/>
      <c r="O137" s="1100"/>
      <c r="P137" s="1069"/>
    </row>
    <row r="138" spans="1:16" s="10" customFormat="1" ht="15.75" thickBot="1">
      <c r="A138" s="1518"/>
      <c r="B138" s="1521"/>
      <c r="C138" s="1521"/>
      <c r="D138" s="1104" t="s">
        <v>136</v>
      </c>
      <c r="E138" s="1521"/>
      <c r="F138" s="1521"/>
      <c r="G138" s="1572"/>
      <c r="H138" s="1162">
        <f>SUM(I138:O138)</f>
        <v>850000</v>
      </c>
      <c r="I138" s="1105"/>
      <c r="J138" s="1106"/>
      <c r="K138" s="1106"/>
      <c r="L138" s="1106">
        <v>425000</v>
      </c>
      <c r="M138" s="1107">
        <v>425000</v>
      </c>
      <c r="N138" s="1107"/>
      <c r="O138" s="1108"/>
      <c r="P138" s="1109"/>
    </row>
    <row r="139" spans="1:16" s="10" customFormat="1" ht="15.75">
      <c r="A139" s="1540">
        <v>33</v>
      </c>
      <c r="B139" s="1533">
        <v>900</v>
      </c>
      <c r="C139" s="1533">
        <v>90095</v>
      </c>
      <c r="D139" s="1158" t="s">
        <v>10</v>
      </c>
      <c r="E139" s="1533">
        <v>2008</v>
      </c>
      <c r="F139" s="1533">
        <v>2011</v>
      </c>
      <c r="G139" s="1533" t="s">
        <v>447</v>
      </c>
      <c r="H139" s="1152"/>
      <c r="I139" s="1170"/>
      <c r="J139" s="1154"/>
      <c r="K139" s="1154"/>
      <c r="L139" s="1154"/>
      <c r="M139" s="1155"/>
      <c r="N139" s="1155"/>
      <c r="O139" s="1156"/>
      <c r="P139" s="1098"/>
    </row>
    <row r="140" spans="1:16" s="10" customFormat="1" ht="15.75">
      <c r="A140" s="1541"/>
      <c r="B140" s="1535"/>
      <c r="C140" s="1535"/>
      <c r="D140" s="1070" t="s">
        <v>84</v>
      </c>
      <c r="E140" s="1534"/>
      <c r="F140" s="1534"/>
      <c r="G140" s="1534"/>
      <c r="H140" s="1141">
        <f>SUM(I140:O140)</f>
        <v>6943000</v>
      </c>
      <c r="I140" s="1141">
        <f>SUM(I141:I143)</f>
        <v>630000</v>
      </c>
      <c r="J140" s="1141">
        <f>SUM(J141:J143)</f>
        <v>2000000</v>
      </c>
      <c r="K140" s="1141">
        <f>SUM(K141:K143)</f>
        <v>2000000</v>
      </c>
      <c r="L140" s="1141">
        <f>SUM(L141:L143)</f>
        <v>2313000</v>
      </c>
      <c r="M140" s="1078"/>
      <c r="N140" s="1078"/>
      <c r="O140" s="1100"/>
      <c r="P140" s="1069"/>
    </row>
    <row r="141" spans="1:16" s="10" customFormat="1" ht="17.25" customHeight="1">
      <c r="A141" s="1541"/>
      <c r="B141" s="1535"/>
      <c r="C141" s="1535"/>
      <c r="D141" s="1075" t="s">
        <v>14</v>
      </c>
      <c r="E141" s="1535"/>
      <c r="F141" s="1535"/>
      <c r="G141" s="1535"/>
      <c r="H141" s="1144">
        <f>SUM(I141:O141)</f>
        <v>3396500</v>
      </c>
      <c r="I141" s="1077">
        <v>530000</v>
      </c>
      <c r="J141" s="1077">
        <v>1000000</v>
      </c>
      <c r="K141" s="1077">
        <v>1000000</v>
      </c>
      <c r="L141" s="1077">
        <v>866500</v>
      </c>
      <c r="M141" s="1078"/>
      <c r="N141" s="1078"/>
      <c r="O141" s="1100"/>
      <c r="P141" s="1069"/>
    </row>
    <row r="142" spans="1:16" s="10" customFormat="1" ht="15">
      <c r="A142" s="1541"/>
      <c r="B142" s="1535"/>
      <c r="C142" s="1535"/>
      <c r="D142" s="1075" t="s">
        <v>136</v>
      </c>
      <c r="E142" s="1535"/>
      <c r="F142" s="1535"/>
      <c r="G142" s="1535"/>
      <c r="H142" s="1144">
        <f>SUM(I142:O142)</f>
        <v>3446500</v>
      </c>
      <c r="I142" s="1077"/>
      <c r="J142" s="1077">
        <v>1000000</v>
      </c>
      <c r="K142" s="1077">
        <v>1000000</v>
      </c>
      <c r="L142" s="1077">
        <v>1446500</v>
      </c>
      <c r="M142" s="1078"/>
      <c r="N142" s="1078"/>
      <c r="O142" s="1100"/>
      <c r="P142" s="1103"/>
    </row>
    <row r="143" spans="1:16" s="10" customFormat="1" ht="15.75" thickBot="1">
      <c r="A143" s="1542"/>
      <c r="B143" s="1536"/>
      <c r="C143" s="1536"/>
      <c r="D143" s="1104" t="s">
        <v>543</v>
      </c>
      <c r="E143" s="1536"/>
      <c r="F143" s="1536"/>
      <c r="G143" s="1536"/>
      <c r="H143" s="1162">
        <f>SUM(I143:O143)</f>
        <v>100000</v>
      </c>
      <c r="I143" s="1106">
        <v>100000</v>
      </c>
      <c r="J143" s="1106"/>
      <c r="K143" s="1106"/>
      <c r="L143" s="1106"/>
      <c r="M143" s="1107"/>
      <c r="N143" s="1107"/>
      <c r="O143" s="1108"/>
      <c r="P143" s="1160"/>
    </row>
    <row r="144" spans="1:16" s="10" customFormat="1" ht="15.75">
      <c r="A144" s="1537" t="s">
        <v>595</v>
      </c>
      <c r="B144" s="1527" t="s">
        <v>375</v>
      </c>
      <c r="C144" s="1527" t="s">
        <v>659</v>
      </c>
      <c r="D144" s="1527" t="s">
        <v>433</v>
      </c>
      <c r="E144" s="1561" t="s">
        <v>53</v>
      </c>
      <c r="F144" s="1580"/>
      <c r="G144" s="1527" t="s">
        <v>660</v>
      </c>
      <c r="H144" s="1527" t="s">
        <v>71</v>
      </c>
      <c r="I144" s="1561" t="s">
        <v>434</v>
      </c>
      <c r="J144" s="1579"/>
      <c r="K144" s="1579"/>
      <c r="L144" s="1579"/>
      <c r="M144" s="1579"/>
      <c r="N144" s="1579"/>
      <c r="O144" s="1580"/>
      <c r="P144" s="1563" t="s">
        <v>80</v>
      </c>
    </row>
    <row r="145" spans="1:16" s="10" customFormat="1" ht="15.75">
      <c r="A145" s="1538"/>
      <c r="B145" s="1528"/>
      <c r="C145" s="1528"/>
      <c r="D145" s="1528"/>
      <c r="E145" s="1551"/>
      <c r="F145" s="1552"/>
      <c r="G145" s="1528"/>
      <c r="H145" s="1528"/>
      <c r="I145" s="1582" t="s">
        <v>492</v>
      </c>
      <c r="J145" s="1582" t="s">
        <v>493</v>
      </c>
      <c r="K145" s="1583" t="s">
        <v>81</v>
      </c>
      <c r="L145" s="1584"/>
      <c r="M145" s="1584"/>
      <c r="N145" s="1584"/>
      <c r="O145" s="1585"/>
      <c r="P145" s="1564"/>
    </row>
    <row r="146" spans="1:16" s="10" customFormat="1" ht="34.5" customHeight="1" thickBot="1">
      <c r="A146" s="1539"/>
      <c r="B146" s="1529"/>
      <c r="C146" s="1529"/>
      <c r="D146" s="1529"/>
      <c r="E146" s="1136" t="s">
        <v>435</v>
      </c>
      <c r="F146" s="1136" t="s">
        <v>436</v>
      </c>
      <c r="G146" s="1529"/>
      <c r="H146" s="1529"/>
      <c r="I146" s="1529"/>
      <c r="J146" s="1529"/>
      <c r="K146" s="1137">
        <v>2010</v>
      </c>
      <c r="L146" s="1138">
        <v>2011</v>
      </c>
      <c r="M146" s="1138">
        <v>2012</v>
      </c>
      <c r="N146" s="1138">
        <v>2013</v>
      </c>
      <c r="O146" s="1139" t="s">
        <v>494</v>
      </c>
      <c r="P146" s="1581"/>
    </row>
    <row r="147" spans="1:16" s="10" customFormat="1" ht="15.75" thickBot="1">
      <c r="A147" s="1163">
        <v>1</v>
      </c>
      <c r="B147" s="1164">
        <v>2</v>
      </c>
      <c r="C147" s="1164">
        <v>3</v>
      </c>
      <c r="D147" s="1164">
        <v>4</v>
      </c>
      <c r="E147" s="1165">
        <v>5</v>
      </c>
      <c r="F147" s="1165">
        <v>6</v>
      </c>
      <c r="G147" s="1165">
        <v>7</v>
      </c>
      <c r="H147" s="1166">
        <v>8</v>
      </c>
      <c r="I147" s="1165">
        <v>9</v>
      </c>
      <c r="J147" s="1164">
        <v>10</v>
      </c>
      <c r="K147" s="1164">
        <v>11</v>
      </c>
      <c r="L147" s="1164">
        <v>12</v>
      </c>
      <c r="M147" s="1164">
        <v>13</v>
      </c>
      <c r="N147" s="1164">
        <v>14</v>
      </c>
      <c r="O147" s="1167">
        <v>15</v>
      </c>
      <c r="P147" s="1168">
        <v>16</v>
      </c>
    </row>
    <row r="148" spans="1:16" s="10" customFormat="1" ht="17.25" thickBot="1" thickTop="1">
      <c r="A148" s="1586" t="s">
        <v>441</v>
      </c>
      <c r="B148" s="1587"/>
      <c r="C148" s="1587"/>
      <c r="D148" s="1587"/>
      <c r="E148" s="1587"/>
      <c r="F148" s="1587"/>
      <c r="G148" s="1587"/>
      <c r="H148" s="1059">
        <f>SUM(I148:O148)</f>
        <v>340000</v>
      </c>
      <c r="I148" s="1171">
        <f>I150</f>
        <v>40000</v>
      </c>
      <c r="J148" s="1171">
        <f aca="true" t="shared" si="9" ref="J148:O148">J150</f>
        <v>300000</v>
      </c>
      <c r="K148" s="1171">
        <f t="shared" si="9"/>
        <v>0</v>
      </c>
      <c r="L148" s="1171">
        <f t="shared" si="9"/>
        <v>0</v>
      </c>
      <c r="M148" s="1171">
        <f t="shared" si="9"/>
        <v>0</v>
      </c>
      <c r="N148" s="1171">
        <f t="shared" si="9"/>
        <v>0</v>
      </c>
      <c r="O148" s="1171">
        <f t="shared" si="9"/>
        <v>0</v>
      </c>
      <c r="P148" s="1172"/>
    </row>
    <row r="149" spans="1:16" s="10" customFormat="1" ht="15.75">
      <c r="A149" s="1588">
        <v>34</v>
      </c>
      <c r="B149" s="1591">
        <v>921</v>
      </c>
      <c r="C149" s="1173"/>
      <c r="D149" s="1174" t="s">
        <v>516</v>
      </c>
      <c r="E149" s="1173"/>
      <c r="F149" s="1173"/>
      <c r="G149" s="1173"/>
      <c r="H149" s="1082"/>
      <c r="I149" s="1083"/>
      <c r="J149" s="1083"/>
      <c r="K149" s="1083"/>
      <c r="L149" s="1083"/>
      <c r="M149" s="1083"/>
      <c r="N149" s="1083"/>
      <c r="O149" s="1083"/>
      <c r="P149" s="1175"/>
    </row>
    <row r="150" spans="1:16" s="10" customFormat="1" ht="15.75">
      <c r="A150" s="1589"/>
      <c r="B150" s="1535"/>
      <c r="C150" s="1176">
        <v>92109</v>
      </c>
      <c r="D150" s="1070" t="s">
        <v>84</v>
      </c>
      <c r="E150" s="1177">
        <v>2008</v>
      </c>
      <c r="F150" s="1176">
        <v>2009</v>
      </c>
      <c r="G150" s="1176" t="s">
        <v>447</v>
      </c>
      <c r="H150" s="1099">
        <f>SUM(I150:O150)</f>
        <v>340000</v>
      </c>
      <c r="I150" s="1089">
        <f>SUM(I151)</f>
        <v>40000</v>
      </c>
      <c r="J150" s="1089">
        <f>SUM(J151)</f>
        <v>300000</v>
      </c>
      <c r="K150" s="1089"/>
      <c r="L150" s="1089"/>
      <c r="M150" s="1088"/>
      <c r="N150" s="1088"/>
      <c r="O150" s="1088"/>
      <c r="P150" s="1178"/>
    </row>
    <row r="151" spans="1:16" s="10" customFormat="1" ht="16.5" thickBot="1">
      <c r="A151" s="1590"/>
      <c r="B151" s="1592"/>
      <c r="C151" s="1179"/>
      <c r="D151" s="1180" t="s">
        <v>14</v>
      </c>
      <c r="E151" s="1179"/>
      <c r="F151" s="1179"/>
      <c r="G151" s="1179"/>
      <c r="H151" s="1181">
        <f>SUM(I151:O151)</f>
        <v>340000</v>
      </c>
      <c r="I151" s="1182">
        <v>40000</v>
      </c>
      <c r="J151" s="1182">
        <f>500000-200000</f>
        <v>300000</v>
      </c>
      <c r="K151" s="1182"/>
      <c r="L151" s="1182"/>
      <c r="M151" s="1183"/>
      <c r="N151" s="1183"/>
      <c r="O151" s="1183"/>
      <c r="P151" s="1184"/>
    </row>
    <row r="152" spans="1:16" s="10" customFormat="1" ht="17.25" thickBot="1" thickTop="1">
      <c r="A152" s="1543" t="s">
        <v>450</v>
      </c>
      <c r="B152" s="1531"/>
      <c r="C152" s="1531"/>
      <c r="D152" s="1531"/>
      <c r="E152" s="1531"/>
      <c r="F152" s="1531"/>
      <c r="G152" s="1531"/>
      <c r="H152" s="1059">
        <f>SUM(I152:O152)</f>
        <v>1776500</v>
      </c>
      <c r="I152" s="1079">
        <f aca="true" t="shared" si="10" ref="I152:O152">SUM(I154,I158)</f>
        <v>56500</v>
      </c>
      <c r="J152" s="1079">
        <f t="shared" si="10"/>
        <v>520000</v>
      </c>
      <c r="K152" s="1079">
        <f t="shared" si="10"/>
        <v>1200000</v>
      </c>
      <c r="L152" s="1079">
        <f t="shared" si="10"/>
        <v>0</v>
      </c>
      <c r="M152" s="1079">
        <f t="shared" si="10"/>
        <v>0</v>
      </c>
      <c r="N152" s="1079">
        <f t="shared" si="10"/>
        <v>0</v>
      </c>
      <c r="O152" s="1079">
        <f t="shared" si="10"/>
        <v>0</v>
      </c>
      <c r="P152" s="1061"/>
    </row>
    <row r="153" spans="1:16" s="10" customFormat="1" ht="15.75">
      <c r="A153" s="1516">
        <v>35</v>
      </c>
      <c r="B153" s="1519">
        <v>921</v>
      </c>
      <c r="C153" s="1519">
        <v>92109</v>
      </c>
      <c r="D153" s="1063" t="s">
        <v>458</v>
      </c>
      <c r="E153" s="1519">
        <v>2006</v>
      </c>
      <c r="F153" s="1519">
        <v>2010</v>
      </c>
      <c r="G153" s="1524" t="s">
        <v>661</v>
      </c>
      <c r="H153" s="1110"/>
      <c r="I153" s="1097"/>
      <c r="J153" s="1066"/>
      <c r="K153" s="1066"/>
      <c r="L153" s="1066"/>
      <c r="M153" s="1066"/>
      <c r="N153" s="1066"/>
      <c r="O153" s="1127"/>
      <c r="P153" s="1098"/>
    </row>
    <row r="154" spans="1:16" s="10" customFormat="1" ht="15.75" customHeight="1">
      <c r="A154" s="1517"/>
      <c r="B154" s="1520"/>
      <c r="C154" s="1520"/>
      <c r="D154" s="1070" t="s">
        <v>84</v>
      </c>
      <c r="E154" s="1522"/>
      <c r="F154" s="1522"/>
      <c r="G154" s="1525"/>
      <c r="H154" s="1099">
        <f>SUM(I154:O154)</f>
        <v>1050000</v>
      </c>
      <c r="I154" s="1099">
        <f>SUM(I155:I156)</f>
        <v>30000</v>
      </c>
      <c r="J154" s="1099">
        <f>SUM(J155:J156)</f>
        <v>270000</v>
      </c>
      <c r="K154" s="1099">
        <f>SUM(K155:K156)</f>
        <v>750000</v>
      </c>
      <c r="L154" s="1077"/>
      <c r="M154" s="1077"/>
      <c r="N154" s="1077"/>
      <c r="O154" s="1185"/>
      <c r="P154" s="1069"/>
    </row>
    <row r="155" spans="1:16" s="10" customFormat="1" ht="15.75" customHeight="1">
      <c r="A155" s="1517"/>
      <c r="B155" s="1520"/>
      <c r="C155" s="1520"/>
      <c r="D155" s="1111" t="s">
        <v>14</v>
      </c>
      <c r="E155" s="1522"/>
      <c r="F155" s="1522"/>
      <c r="G155" s="1525"/>
      <c r="H155" s="1144">
        <f>SUM(I155:O155)</f>
        <v>550000</v>
      </c>
      <c r="I155" s="1102">
        <v>30000</v>
      </c>
      <c r="J155" s="1102">
        <v>145000</v>
      </c>
      <c r="K155" s="1102">
        <v>375000</v>
      </c>
      <c r="L155" s="1077"/>
      <c r="M155" s="1077"/>
      <c r="N155" s="1077"/>
      <c r="O155" s="1185"/>
      <c r="P155" s="1069"/>
    </row>
    <row r="156" spans="1:16" s="10" customFormat="1" ht="15.75" thickBot="1">
      <c r="A156" s="1517"/>
      <c r="B156" s="1520"/>
      <c r="C156" s="1520"/>
      <c r="D156" s="1075" t="s">
        <v>136</v>
      </c>
      <c r="E156" s="1522"/>
      <c r="F156" s="1522"/>
      <c r="G156" s="1525"/>
      <c r="H156" s="1144">
        <f>SUM(I156:O156)</f>
        <v>500000</v>
      </c>
      <c r="I156" s="1102"/>
      <c r="J156" s="1077">
        <v>125000</v>
      </c>
      <c r="K156" s="1077">
        <v>375000</v>
      </c>
      <c r="L156" s="1077"/>
      <c r="M156" s="1077"/>
      <c r="N156" s="1077"/>
      <c r="O156" s="1185"/>
      <c r="P156" s="1103"/>
    </row>
    <row r="157" spans="1:16" s="10" customFormat="1" ht="15.75">
      <c r="A157" s="1516">
        <v>36</v>
      </c>
      <c r="B157" s="1519">
        <v>921</v>
      </c>
      <c r="C157" s="1519">
        <v>92109</v>
      </c>
      <c r="D157" s="1063" t="s">
        <v>77</v>
      </c>
      <c r="E157" s="1519">
        <v>2008</v>
      </c>
      <c r="F157" s="1519">
        <v>2010</v>
      </c>
      <c r="G157" s="1519" t="s">
        <v>447</v>
      </c>
      <c r="H157" s="1110"/>
      <c r="I157" s="1066"/>
      <c r="J157" s="1066"/>
      <c r="K157" s="1066"/>
      <c r="L157" s="1066"/>
      <c r="M157" s="1066"/>
      <c r="N157" s="1066"/>
      <c r="O157" s="1127"/>
      <c r="P157" s="1058"/>
    </row>
    <row r="158" spans="1:16" s="10" customFormat="1" ht="15.75">
      <c r="A158" s="1517"/>
      <c r="B158" s="1520"/>
      <c r="C158" s="1520"/>
      <c r="D158" s="1070" t="s">
        <v>84</v>
      </c>
      <c r="E158" s="1522"/>
      <c r="F158" s="1522"/>
      <c r="G158" s="1522"/>
      <c r="H158" s="1099">
        <f>SUM(I158:O158)</f>
        <v>726500</v>
      </c>
      <c r="I158" s="1099">
        <f>SUM(I159:I160)</f>
        <v>26500</v>
      </c>
      <c r="J158" s="1099">
        <f>SUM(J159:J160)</f>
        <v>250000</v>
      </c>
      <c r="K158" s="1099">
        <f>SUM(K159:K160)</f>
        <v>450000</v>
      </c>
      <c r="L158" s="1186"/>
      <c r="M158" s="1186"/>
      <c r="N158" s="1186"/>
      <c r="O158" s="1187"/>
      <c r="P158" s="1188"/>
    </row>
    <row r="159" spans="1:16" s="10" customFormat="1" ht="15">
      <c r="A159" s="1517"/>
      <c r="B159" s="1520"/>
      <c r="C159" s="1520"/>
      <c r="D159" s="1111" t="s">
        <v>14</v>
      </c>
      <c r="E159" s="1522"/>
      <c r="F159" s="1522"/>
      <c r="G159" s="1522"/>
      <c r="H159" s="1144">
        <f aca="true" t="shared" si="11" ref="H159:H164">SUM(I159:O159)</f>
        <v>376500</v>
      </c>
      <c r="I159" s="1077">
        <v>26500</v>
      </c>
      <c r="J159" s="1077">
        <v>125000</v>
      </c>
      <c r="K159" s="1077">
        <v>225000</v>
      </c>
      <c r="L159" s="1186"/>
      <c r="M159" s="1186"/>
      <c r="N159" s="1186"/>
      <c r="O159" s="1187"/>
      <c r="P159" s="1188"/>
    </row>
    <row r="160" spans="1:16" s="10" customFormat="1" ht="15.75" thickBot="1">
      <c r="A160" s="1578"/>
      <c r="B160" s="1573"/>
      <c r="C160" s="1573"/>
      <c r="D160" s="1180" t="s">
        <v>136</v>
      </c>
      <c r="E160" s="1594"/>
      <c r="F160" s="1594"/>
      <c r="G160" s="1594"/>
      <c r="H160" s="1181">
        <f t="shared" si="11"/>
        <v>350000</v>
      </c>
      <c r="I160" s="1189"/>
      <c r="J160" s="1189">
        <v>125000</v>
      </c>
      <c r="K160" s="1189">
        <v>225000</v>
      </c>
      <c r="L160" s="1189"/>
      <c r="M160" s="1189"/>
      <c r="N160" s="1189"/>
      <c r="O160" s="1190"/>
      <c r="P160" s="1191"/>
    </row>
    <row r="161" spans="1:16" s="10" customFormat="1" ht="18.75" thickTop="1">
      <c r="A161" s="1192"/>
      <c r="B161" s="1193"/>
      <c r="C161" s="1193"/>
      <c r="D161" s="1194" t="s">
        <v>78</v>
      </c>
      <c r="E161" s="1193"/>
      <c r="F161" s="1193"/>
      <c r="G161" s="1193"/>
      <c r="H161" s="1195">
        <f>SUM(I161:O161)</f>
        <v>132580078</v>
      </c>
      <c r="I161" s="1196">
        <f aca="true" t="shared" si="12" ref="I161:O161">SUM(I8,I12,I24,I29,I36,I41,I50,I85,I94,I134,I128,I148,I152)</f>
        <v>7303898</v>
      </c>
      <c r="J161" s="1196">
        <f t="shared" si="12"/>
        <v>25537180</v>
      </c>
      <c r="K161" s="1196">
        <f t="shared" si="12"/>
        <v>33466000</v>
      </c>
      <c r="L161" s="1196">
        <f t="shared" si="12"/>
        <v>22085500</v>
      </c>
      <c r="M161" s="1196">
        <f t="shared" si="12"/>
        <v>15537500</v>
      </c>
      <c r="N161" s="1196">
        <f t="shared" si="12"/>
        <v>15650000</v>
      </c>
      <c r="O161" s="1196">
        <f t="shared" si="12"/>
        <v>13000000</v>
      </c>
      <c r="P161" s="1197"/>
    </row>
    <row r="162" spans="1:17" s="10" customFormat="1" ht="18">
      <c r="A162" s="1198"/>
      <c r="B162" s="1193"/>
      <c r="C162" s="1193"/>
      <c r="D162" s="1199" t="s">
        <v>544</v>
      </c>
      <c r="E162" s="1193"/>
      <c r="F162" s="1193"/>
      <c r="G162" s="1193"/>
      <c r="H162" s="1200">
        <f>SUM(I162:O162)</f>
        <v>75090083</v>
      </c>
      <c r="I162" s="1201">
        <f aca="true" t="shared" si="13" ref="I162:O162">SUM(I11,I15,I18,I22,I27,I32,I35,I39,I44,I53,I57,I61,I65,I69,I73,I76,I80,I83,I88,I97,I100,I103,I106,I109,I112,I115,I118,I121,I124,I127)+SUM(I131,I137,I141,I151,I155,I159)</f>
        <v>7186898</v>
      </c>
      <c r="J162" s="1201">
        <f t="shared" si="13"/>
        <v>14161285</v>
      </c>
      <c r="K162" s="1201">
        <f t="shared" si="13"/>
        <v>16427900</v>
      </c>
      <c r="L162" s="1201">
        <f t="shared" si="13"/>
        <v>12076500</v>
      </c>
      <c r="M162" s="1201">
        <f t="shared" si="13"/>
        <v>11212500</v>
      </c>
      <c r="N162" s="1201">
        <f t="shared" si="13"/>
        <v>10775000</v>
      </c>
      <c r="O162" s="1201">
        <f t="shared" si="13"/>
        <v>3250000</v>
      </c>
      <c r="P162" s="1197"/>
      <c r="Q162" s="97"/>
    </row>
    <row r="163" spans="1:17" s="10" customFormat="1" ht="18">
      <c r="A163" s="1198"/>
      <c r="B163" s="1193"/>
      <c r="C163" s="1193"/>
      <c r="D163" s="1199" t="s">
        <v>545</v>
      </c>
      <c r="E163" s="1193"/>
      <c r="F163" s="1193"/>
      <c r="G163" s="1193"/>
      <c r="H163" s="1200">
        <f t="shared" si="11"/>
        <v>51839995</v>
      </c>
      <c r="I163" s="1201">
        <f aca="true" t="shared" si="14" ref="I163:O163">SUM(I19,I28,I40,I45,I54,I58,I62,I66,I70,I77,I84,I89,I138,I142,I156,I160,I132)</f>
        <v>17000</v>
      </c>
      <c r="J163" s="1201">
        <f t="shared" si="14"/>
        <v>7213353</v>
      </c>
      <c r="K163" s="1201">
        <f t="shared" si="14"/>
        <v>16588100</v>
      </c>
      <c r="L163" s="1201">
        <f t="shared" si="14"/>
        <v>9071542</v>
      </c>
      <c r="M163" s="1201">
        <f t="shared" si="14"/>
        <v>4325000</v>
      </c>
      <c r="N163" s="1201">
        <f t="shared" si="14"/>
        <v>4875000</v>
      </c>
      <c r="O163" s="1201">
        <f t="shared" si="14"/>
        <v>9750000</v>
      </c>
      <c r="P163" s="1202"/>
      <c r="Q163" s="97"/>
    </row>
    <row r="164" spans="1:17" s="10" customFormat="1" ht="18.75" thickBot="1">
      <c r="A164" s="1203"/>
      <c r="B164" s="1204"/>
      <c r="C164" s="1204"/>
      <c r="D164" s="1205" t="s">
        <v>546</v>
      </c>
      <c r="E164" s="1204"/>
      <c r="F164" s="1204"/>
      <c r="G164" s="1204"/>
      <c r="H164" s="1206">
        <f t="shared" si="11"/>
        <v>5650000</v>
      </c>
      <c r="I164" s="1207">
        <f aca="true" t="shared" si="15" ref="I164:O164">SUM(I23,I143,I133)</f>
        <v>100000</v>
      </c>
      <c r="J164" s="1207">
        <f t="shared" si="15"/>
        <v>4162542</v>
      </c>
      <c r="K164" s="1207">
        <f t="shared" si="15"/>
        <v>450000</v>
      </c>
      <c r="L164" s="1207">
        <f t="shared" si="15"/>
        <v>937458</v>
      </c>
      <c r="M164" s="1207">
        <f t="shared" si="15"/>
        <v>0</v>
      </c>
      <c r="N164" s="1207">
        <f t="shared" si="15"/>
        <v>0</v>
      </c>
      <c r="O164" s="1207">
        <f t="shared" si="15"/>
        <v>0</v>
      </c>
      <c r="P164" s="1208"/>
      <c r="Q164" s="97"/>
    </row>
    <row r="165" spans="1:16" s="10" customFormat="1" ht="23.25">
      <c r="A165" s="1593"/>
      <c r="B165" s="1593"/>
      <c r="C165" s="1593"/>
      <c r="D165" s="1593"/>
      <c r="E165" s="1593"/>
      <c r="F165" s="1593"/>
      <c r="G165" s="1593"/>
      <c r="H165" s="1593"/>
      <c r="I165" s="1593"/>
      <c r="J165" s="1593"/>
      <c r="K165" s="1593"/>
      <c r="L165" s="1593"/>
      <c r="M165" s="1593"/>
      <c r="N165" s="1593"/>
      <c r="O165" s="1593"/>
      <c r="P165" s="1209"/>
    </row>
    <row r="166" spans="1:16" s="10" customFormat="1" ht="12.75">
      <c r="A166" s="1210"/>
      <c r="B166" s="1210"/>
      <c r="C166" s="1210"/>
      <c r="D166" s="1211"/>
      <c r="E166" s="1212"/>
      <c r="F166" s="1212"/>
      <c r="G166" s="1212"/>
      <c r="H166" s="1213"/>
      <c r="I166" s="1213"/>
      <c r="J166" s="1213"/>
      <c r="K166" s="1213"/>
      <c r="L166" s="1213"/>
      <c r="M166" s="1213"/>
      <c r="N166" s="1213"/>
      <c r="O166" s="1213"/>
      <c r="P166" s="1209"/>
    </row>
    <row r="167" spans="1:16" s="10" customFormat="1" ht="12.75">
      <c r="A167" s="1210"/>
      <c r="B167" s="1210"/>
      <c r="C167" s="1210"/>
      <c r="D167" s="1214"/>
      <c r="E167" s="1212"/>
      <c r="F167" s="1212"/>
      <c r="G167" s="1212"/>
      <c r="H167" s="1212"/>
      <c r="I167" s="1213"/>
      <c r="J167" s="1212"/>
      <c r="K167" s="1212"/>
      <c r="L167" s="1215"/>
      <c r="M167" s="1216"/>
      <c r="N167" s="1216"/>
      <c r="O167" s="1216"/>
      <c r="P167" s="1209"/>
    </row>
    <row r="168" spans="1:16" s="10" customFormat="1" ht="12.75">
      <c r="A168" s="1210"/>
      <c r="B168" s="1210"/>
      <c r="C168" s="1210"/>
      <c r="D168" s="1214"/>
      <c r="E168" s="1212"/>
      <c r="F168" s="1212"/>
      <c r="G168" s="1212"/>
      <c r="H168" s="1213"/>
      <c r="I168" s="1213"/>
      <c r="J168" s="1213"/>
      <c r="K168" s="1213"/>
      <c r="L168" s="1213"/>
      <c r="M168" s="1213"/>
      <c r="N168" s="1213"/>
      <c r="O168" s="1213"/>
      <c r="P168" s="1217"/>
    </row>
    <row r="169" spans="1:16" s="10" customFormat="1" ht="12.75">
      <c r="A169" s="1210"/>
      <c r="B169" s="1210"/>
      <c r="C169" s="1210"/>
      <c r="D169" s="1214"/>
      <c r="E169" s="1212"/>
      <c r="F169" s="1212"/>
      <c r="G169" s="1212"/>
      <c r="H169" s="1213"/>
      <c r="I169" s="1213"/>
      <c r="J169" s="1213"/>
      <c r="K169" s="1213"/>
      <c r="L169" s="1213"/>
      <c r="M169" s="1213"/>
      <c r="N169" s="1213"/>
      <c r="O169" s="1213"/>
      <c r="P169" s="1217"/>
    </row>
    <row r="170" spans="1:16" s="10" customFormat="1" ht="12.75">
      <c r="A170" s="1210"/>
      <c r="B170" s="1210"/>
      <c r="C170" s="1210"/>
      <c r="D170" s="1214"/>
      <c r="E170" s="1212"/>
      <c r="F170" s="1212"/>
      <c r="G170" s="1212"/>
      <c r="H170" s="1259"/>
      <c r="I170" s="1259"/>
      <c r="J170" s="1259"/>
      <c r="K170" s="1259"/>
      <c r="L170" s="1259"/>
      <c r="M170" s="1259"/>
      <c r="N170" s="1259"/>
      <c r="O170" s="1259"/>
      <c r="P170" s="1217"/>
    </row>
    <row r="171" spans="8:15" ht="26.25">
      <c r="H171" s="1259"/>
      <c r="J171" s="1259"/>
      <c r="K171" s="1259"/>
      <c r="L171" s="1259"/>
      <c r="M171" s="1259"/>
      <c r="N171" s="1259"/>
      <c r="O171" s="1259"/>
    </row>
    <row r="172" spans="8:15" ht="26.25">
      <c r="H172" s="1259"/>
      <c r="J172" s="1259"/>
      <c r="K172" s="1259"/>
      <c r="L172" s="1259"/>
      <c r="M172" s="1259"/>
      <c r="N172" s="1259"/>
      <c r="O172" s="1259"/>
    </row>
    <row r="173" spans="8:15" ht="26.25">
      <c r="H173" s="1259"/>
      <c r="J173" s="1259"/>
      <c r="K173" s="1259"/>
      <c r="L173" s="1259"/>
      <c r="M173" s="1259"/>
      <c r="N173" s="1259"/>
      <c r="O173" s="1259"/>
    </row>
    <row r="174" spans="8:15" ht="26.25">
      <c r="H174" s="1259"/>
      <c r="J174" s="1259"/>
      <c r="K174" s="1259"/>
      <c r="L174" s="1259"/>
      <c r="M174" s="1259"/>
      <c r="N174" s="1259"/>
      <c r="O174" s="1259"/>
    </row>
    <row r="175" spans="8:15" ht="26.25">
      <c r="H175" s="1259"/>
      <c r="J175" s="1259"/>
      <c r="K175" s="1259"/>
      <c r="L175" s="1259"/>
      <c r="M175" s="1259"/>
      <c r="N175" s="1259"/>
      <c r="O175" s="1259"/>
    </row>
    <row r="176" spans="8:15" ht="26.25">
      <c r="H176" s="1259"/>
      <c r="J176" s="1259"/>
      <c r="K176" s="1259"/>
      <c r="L176" s="1259"/>
      <c r="M176" s="1259"/>
      <c r="N176" s="1259"/>
      <c r="O176" s="1259"/>
    </row>
    <row r="177" spans="12:13" ht="26.25">
      <c r="L177" s="1262"/>
      <c r="M177" s="1262"/>
    </row>
    <row r="178" spans="12:13" ht="26.25">
      <c r="L178" s="1262"/>
      <c r="M178" s="1262"/>
    </row>
    <row r="179" spans="12:13" ht="26.25">
      <c r="L179" s="1262"/>
      <c r="M179" s="1262"/>
    </row>
    <row r="180" spans="12:13" ht="26.25">
      <c r="L180" s="1262"/>
      <c r="M180" s="1262"/>
    </row>
    <row r="181" spans="12:13" ht="26.25">
      <c r="L181" s="1262"/>
      <c r="M181" s="1262"/>
    </row>
    <row r="182" spans="12:13" ht="26.25">
      <c r="L182" s="1262"/>
      <c r="M182" s="1262"/>
    </row>
    <row r="183" spans="12:13" ht="26.25">
      <c r="L183" s="1262"/>
      <c r="M183" s="1262"/>
    </row>
    <row r="184" spans="12:13" ht="26.25">
      <c r="L184" s="1262"/>
      <c r="M184" s="1262"/>
    </row>
    <row r="185" spans="12:13" ht="26.25">
      <c r="L185" s="1262"/>
      <c r="M185" s="1262"/>
    </row>
    <row r="186" spans="12:13" ht="26.25">
      <c r="L186" s="1262"/>
      <c r="M186" s="1262"/>
    </row>
    <row r="187" spans="12:13" ht="26.25">
      <c r="L187" s="1262"/>
      <c r="M187" s="1262"/>
    </row>
    <row r="188" spans="12:13" ht="26.25">
      <c r="L188" s="1262"/>
      <c r="M188" s="1262"/>
    </row>
    <row r="189" spans="12:13" ht="26.25">
      <c r="L189" s="1262"/>
      <c r="M189" s="1262"/>
    </row>
    <row r="190" spans="12:13" ht="26.25">
      <c r="L190" s="1262"/>
      <c r="M190" s="1262"/>
    </row>
    <row r="191" spans="12:13" ht="26.25">
      <c r="L191" s="1262"/>
      <c r="M191" s="1262"/>
    </row>
    <row r="192" spans="12:13" ht="26.25">
      <c r="L192" s="1262"/>
      <c r="M192" s="1262"/>
    </row>
    <row r="193" spans="12:13" ht="26.25">
      <c r="L193" s="1262"/>
      <c r="M193" s="1262"/>
    </row>
    <row r="194" spans="12:13" ht="26.25">
      <c r="L194" s="1262"/>
      <c r="M194" s="1262"/>
    </row>
    <row r="195" spans="12:13" ht="26.25">
      <c r="L195" s="1262"/>
      <c r="M195" s="1262"/>
    </row>
    <row r="196" spans="12:13" ht="26.25">
      <c r="L196" s="1262"/>
      <c r="M196" s="1262"/>
    </row>
    <row r="197" spans="12:13" ht="26.25">
      <c r="L197" s="1262"/>
      <c r="M197" s="1262"/>
    </row>
    <row r="198" spans="12:13" ht="26.25">
      <c r="L198" s="1262"/>
      <c r="M198" s="1262"/>
    </row>
    <row r="199" spans="12:13" ht="26.25">
      <c r="L199" s="1262"/>
      <c r="M199" s="1262"/>
    </row>
    <row r="200" spans="12:13" ht="26.25">
      <c r="L200" s="1262"/>
      <c r="M200" s="1262"/>
    </row>
    <row r="201" spans="12:13" ht="26.25">
      <c r="L201" s="1262"/>
      <c r="M201" s="1262"/>
    </row>
    <row r="202" spans="12:13" ht="26.25">
      <c r="L202" s="1262"/>
      <c r="M202" s="1262"/>
    </row>
    <row r="203" spans="12:13" ht="26.25">
      <c r="L203" s="1262"/>
      <c r="M203" s="1262"/>
    </row>
    <row r="204" spans="12:13" ht="26.25">
      <c r="L204" s="1262"/>
      <c r="M204" s="1262"/>
    </row>
    <row r="205" spans="12:13" ht="26.25">
      <c r="L205" s="1262"/>
      <c r="M205" s="1262"/>
    </row>
    <row r="206" spans="12:13" ht="26.25">
      <c r="L206" s="1262"/>
      <c r="M206" s="1262"/>
    </row>
    <row r="207" spans="12:13" ht="26.25">
      <c r="L207" s="1262"/>
      <c r="M207" s="1262"/>
    </row>
    <row r="208" spans="12:13" ht="26.25">
      <c r="L208" s="1262"/>
      <c r="M208" s="1262"/>
    </row>
    <row r="209" spans="12:13" ht="26.25">
      <c r="L209" s="1262"/>
      <c r="M209" s="1262"/>
    </row>
    <row r="210" spans="12:13" ht="26.25">
      <c r="L210" s="1262"/>
      <c r="M210" s="1262"/>
    </row>
    <row r="211" spans="12:13" ht="26.25">
      <c r="L211" s="1262"/>
      <c r="M211" s="1262"/>
    </row>
    <row r="212" spans="12:13" ht="26.25">
      <c r="L212" s="1262"/>
      <c r="M212" s="1262"/>
    </row>
    <row r="213" spans="12:13" ht="26.25">
      <c r="L213" s="1262"/>
      <c r="M213" s="1262"/>
    </row>
    <row r="214" spans="12:13" ht="26.25">
      <c r="L214" s="1262"/>
      <c r="M214" s="1262"/>
    </row>
    <row r="215" spans="12:13" ht="26.25">
      <c r="L215" s="1262"/>
      <c r="M215" s="1262"/>
    </row>
    <row r="216" spans="12:13" ht="26.25">
      <c r="L216" s="1262"/>
      <c r="M216" s="1262"/>
    </row>
    <row r="217" spans="12:13" ht="26.25">
      <c r="L217" s="1262"/>
      <c r="M217" s="1262"/>
    </row>
    <row r="218" spans="12:13" ht="26.25">
      <c r="L218" s="1262"/>
      <c r="M218" s="1262"/>
    </row>
    <row r="219" spans="12:13" ht="26.25">
      <c r="L219" s="1262"/>
      <c r="M219" s="1262"/>
    </row>
    <row r="220" spans="12:13" ht="26.25">
      <c r="L220" s="1262"/>
      <c r="M220" s="1262"/>
    </row>
    <row r="221" spans="12:13" ht="26.25">
      <c r="L221" s="1262"/>
      <c r="M221" s="1262"/>
    </row>
    <row r="222" spans="12:13" ht="26.25">
      <c r="L222" s="1262"/>
      <c r="M222" s="1262"/>
    </row>
    <row r="223" spans="12:13" ht="26.25">
      <c r="L223" s="1262"/>
      <c r="M223" s="1262"/>
    </row>
    <row r="224" spans="12:13" ht="26.25">
      <c r="L224" s="1262"/>
      <c r="M224" s="1262"/>
    </row>
    <row r="225" spans="12:13" ht="26.25">
      <c r="L225" s="1262"/>
      <c r="M225" s="1262"/>
    </row>
    <row r="226" spans="12:13" ht="26.25">
      <c r="L226" s="1262"/>
      <c r="M226" s="1262"/>
    </row>
    <row r="227" spans="12:13" ht="26.25">
      <c r="L227" s="1262"/>
      <c r="M227" s="1262"/>
    </row>
    <row r="228" spans="12:13" ht="26.25">
      <c r="L228" s="1262"/>
      <c r="M228" s="1262"/>
    </row>
    <row r="229" spans="12:13" ht="26.25">
      <c r="L229" s="1262"/>
      <c r="M229" s="1262"/>
    </row>
    <row r="230" spans="12:13" ht="26.25">
      <c r="L230" s="1262"/>
      <c r="M230" s="1262"/>
    </row>
    <row r="231" spans="12:13" ht="26.25">
      <c r="L231" s="1262"/>
      <c r="M231" s="1262"/>
    </row>
    <row r="232" spans="12:13" ht="26.25">
      <c r="L232" s="1262"/>
      <c r="M232" s="1262"/>
    </row>
    <row r="233" spans="12:13" ht="26.25">
      <c r="L233" s="1262"/>
      <c r="M233" s="1262"/>
    </row>
    <row r="234" spans="12:13" ht="26.25">
      <c r="L234" s="1262"/>
      <c r="M234" s="1262"/>
    </row>
    <row r="235" spans="12:13" ht="26.25">
      <c r="L235" s="1262"/>
      <c r="M235" s="1262"/>
    </row>
    <row r="236" spans="12:13" ht="26.25">
      <c r="L236" s="1262"/>
      <c r="M236" s="1262"/>
    </row>
    <row r="237" spans="12:13" ht="26.25">
      <c r="L237" s="1262"/>
      <c r="M237" s="1262"/>
    </row>
    <row r="238" spans="12:13" ht="26.25">
      <c r="L238" s="1262"/>
      <c r="M238" s="1262"/>
    </row>
    <row r="239" spans="12:13" ht="26.25">
      <c r="L239" s="1262"/>
      <c r="M239" s="1262"/>
    </row>
    <row r="240" spans="12:13" ht="26.25">
      <c r="L240" s="1262"/>
      <c r="M240" s="1262"/>
    </row>
    <row r="241" spans="12:13" ht="26.25">
      <c r="L241" s="1262"/>
      <c r="M241" s="1262"/>
    </row>
  </sheetData>
  <mergeCells count="272">
    <mergeCell ref="C129:C133"/>
    <mergeCell ref="E129:E133"/>
    <mergeCell ref="F129:F133"/>
    <mergeCell ref="G129:G133"/>
    <mergeCell ref="F153:F156"/>
    <mergeCell ref="G153:G156"/>
    <mergeCell ref="A165:O165"/>
    <mergeCell ref="A157:A160"/>
    <mergeCell ref="B157:B160"/>
    <mergeCell ref="C157:C160"/>
    <mergeCell ref="E157:E160"/>
    <mergeCell ref="F157:F160"/>
    <mergeCell ref="G157:G160"/>
    <mergeCell ref="A153:A156"/>
    <mergeCell ref="B153:B156"/>
    <mergeCell ref="C153:C156"/>
    <mergeCell ref="E153:E156"/>
    <mergeCell ref="C144:C146"/>
    <mergeCell ref="D144:D146"/>
    <mergeCell ref="E144:F145"/>
    <mergeCell ref="A152:G152"/>
    <mergeCell ref="A148:G148"/>
    <mergeCell ref="A149:A151"/>
    <mergeCell ref="B149:B151"/>
    <mergeCell ref="H144:H146"/>
    <mergeCell ref="I144:O144"/>
    <mergeCell ref="P144:P146"/>
    <mergeCell ref="I145:I146"/>
    <mergeCell ref="J145:J146"/>
    <mergeCell ref="K145:O145"/>
    <mergeCell ref="A134:G134"/>
    <mergeCell ref="A135:A138"/>
    <mergeCell ref="B135:B138"/>
    <mergeCell ref="C135:C138"/>
    <mergeCell ref="E135:E138"/>
    <mergeCell ref="F135:F138"/>
    <mergeCell ref="G135:G138"/>
    <mergeCell ref="F125:F127"/>
    <mergeCell ref="G125:G127"/>
    <mergeCell ref="B122:B124"/>
    <mergeCell ref="C122:C124"/>
    <mergeCell ref="E122:E124"/>
    <mergeCell ref="A125:A127"/>
    <mergeCell ref="B125:B127"/>
    <mergeCell ref="C125:C127"/>
    <mergeCell ref="E125:E127"/>
    <mergeCell ref="F110:F112"/>
    <mergeCell ref="G110:G112"/>
    <mergeCell ref="A107:A109"/>
    <mergeCell ref="F122:F124"/>
    <mergeCell ref="C119:C121"/>
    <mergeCell ref="E119:E121"/>
    <mergeCell ref="F119:F121"/>
    <mergeCell ref="G122:G124"/>
    <mergeCell ref="G113:G115"/>
    <mergeCell ref="A116:A118"/>
    <mergeCell ref="A104:A106"/>
    <mergeCell ref="B104:B106"/>
    <mergeCell ref="C104:C106"/>
    <mergeCell ref="G119:G121"/>
    <mergeCell ref="F107:F109"/>
    <mergeCell ref="G107:G109"/>
    <mergeCell ref="A110:A112"/>
    <mergeCell ref="B110:B112"/>
    <mergeCell ref="C110:C112"/>
    <mergeCell ref="E110:E112"/>
    <mergeCell ref="A101:A103"/>
    <mergeCell ref="B101:B103"/>
    <mergeCell ref="C101:C103"/>
    <mergeCell ref="E101:E103"/>
    <mergeCell ref="C98:C100"/>
    <mergeCell ref="E98:E100"/>
    <mergeCell ref="B107:B109"/>
    <mergeCell ref="C107:C109"/>
    <mergeCell ref="E107:E109"/>
    <mergeCell ref="E104:E106"/>
    <mergeCell ref="P90:P92"/>
    <mergeCell ref="I91:I92"/>
    <mergeCell ref="J91:J92"/>
    <mergeCell ref="K91:O91"/>
    <mergeCell ref="G90:G92"/>
    <mergeCell ref="A81:A84"/>
    <mergeCell ref="H90:H92"/>
    <mergeCell ref="I90:O90"/>
    <mergeCell ref="G86:G89"/>
    <mergeCell ref="A90:A92"/>
    <mergeCell ref="B90:B92"/>
    <mergeCell ref="F86:F89"/>
    <mergeCell ref="B81:B84"/>
    <mergeCell ref="C81:C84"/>
    <mergeCell ref="E81:E84"/>
    <mergeCell ref="A78:A80"/>
    <mergeCell ref="B78:B80"/>
    <mergeCell ref="C78:C80"/>
    <mergeCell ref="G74:G77"/>
    <mergeCell ref="F78:F80"/>
    <mergeCell ref="G78:G80"/>
    <mergeCell ref="E74:E77"/>
    <mergeCell ref="F74:F77"/>
    <mergeCell ref="E78:E80"/>
    <mergeCell ref="E55:E58"/>
    <mergeCell ref="F55:F58"/>
    <mergeCell ref="G55:G58"/>
    <mergeCell ref="A59:A62"/>
    <mergeCell ref="B59:B62"/>
    <mergeCell ref="C59:C62"/>
    <mergeCell ref="E59:E62"/>
    <mergeCell ref="F59:F62"/>
    <mergeCell ref="G59:G62"/>
    <mergeCell ref="A55:A58"/>
    <mergeCell ref="A50:G50"/>
    <mergeCell ref="A51:A54"/>
    <mergeCell ref="B51:B54"/>
    <mergeCell ref="C51:C54"/>
    <mergeCell ref="E51:E54"/>
    <mergeCell ref="F51:F54"/>
    <mergeCell ref="G51:G54"/>
    <mergeCell ref="H46:H48"/>
    <mergeCell ref="I46:O46"/>
    <mergeCell ref="P46:P48"/>
    <mergeCell ref="I47:I48"/>
    <mergeCell ref="J47:J48"/>
    <mergeCell ref="K47:O47"/>
    <mergeCell ref="B37:B40"/>
    <mergeCell ref="C37:C40"/>
    <mergeCell ref="G30:G32"/>
    <mergeCell ref="A33:A35"/>
    <mergeCell ref="B33:B35"/>
    <mergeCell ref="C33:C35"/>
    <mergeCell ref="A29:G29"/>
    <mergeCell ref="E33:E35"/>
    <mergeCell ref="F33:F35"/>
    <mergeCell ref="G33:G35"/>
    <mergeCell ref="A30:A32"/>
    <mergeCell ref="B30:B32"/>
    <mergeCell ref="C30:C32"/>
    <mergeCell ref="E30:E32"/>
    <mergeCell ref="F30:F32"/>
    <mergeCell ref="A20:A23"/>
    <mergeCell ref="E25:E28"/>
    <mergeCell ref="F25:F28"/>
    <mergeCell ref="G25:G28"/>
    <mergeCell ref="B20:B23"/>
    <mergeCell ref="C20:C23"/>
    <mergeCell ref="A24:G24"/>
    <mergeCell ref="A25:A28"/>
    <mergeCell ref="B25:B28"/>
    <mergeCell ref="C25:C28"/>
    <mergeCell ref="A9:A11"/>
    <mergeCell ref="E20:E23"/>
    <mergeCell ref="F20:F23"/>
    <mergeCell ref="G20:G23"/>
    <mergeCell ref="A16:A19"/>
    <mergeCell ref="B16:B19"/>
    <mergeCell ref="C16:C19"/>
    <mergeCell ref="F16:F19"/>
    <mergeCell ref="E16:E19"/>
    <mergeCell ref="G16:G19"/>
    <mergeCell ref="A12:G12"/>
    <mergeCell ref="A13:A15"/>
    <mergeCell ref="B13:B15"/>
    <mergeCell ref="C13:C15"/>
    <mergeCell ref="E13:E15"/>
    <mergeCell ref="F13:F15"/>
    <mergeCell ref="G13:G15"/>
    <mergeCell ref="B9:B11"/>
    <mergeCell ref="C9:C11"/>
    <mergeCell ref="E9:E11"/>
    <mergeCell ref="P4:P6"/>
    <mergeCell ref="I5:I6"/>
    <mergeCell ref="J5:J6"/>
    <mergeCell ref="K5:O5"/>
    <mergeCell ref="F9:F11"/>
    <mergeCell ref="G9:G11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I4:O4"/>
    <mergeCell ref="A122:A124"/>
    <mergeCell ref="E113:E115"/>
    <mergeCell ref="F113:F115"/>
    <mergeCell ref="A119:A121"/>
    <mergeCell ref="B119:B121"/>
    <mergeCell ref="B116:B118"/>
    <mergeCell ref="C116:C118"/>
    <mergeCell ref="E116:E118"/>
    <mergeCell ref="F116:F118"/>
    <mergeCell ref="B86:B89"/>
    <mergeCell ref="C86:C89"/>
    <mergeCell ref="E86:E89"/>
    <mergeCell ref="A113:A115"/>
    <mergeCell ref="B113:B115"/>
    <mergeCell ref="C113:C115"/>
    <mergeCell ref="C90:C92"/>
    <mergeCell ref="D90:D92"/>
    <mergeCell ref="E90:F91"/>
    <mergeCell ref="A98:A100"/>
    <mergeCell ref="A74:A77"/>
    <mergeCell ref="B74:B77"/>
    <mergeCell ref="C74:C77"/>
    <mergeCell ref="G116:G118"/>
    <mergeCell ref="F101:F103"/>
    <mergeCell ref="G101:G103"/>
    <mergeCell ref="F81:F84"/>
    <mergeCell ref="G81:G84"/>
    <mergeCell ref="A85:G85"/>
    <mergeCell ref="A86:A89"/>
    <mergeCell ref="A41:G41"/>
    <mergeCell ref="F67:F70"/>
    <mergeCell ref="G67:G70"/>
    <mergeCell ref="A71:A73"/>
    <mergeCell ref="C42:C45"/>
    <mergeCell ref="E42:E45"/>
    <mergeCell ref="F42:F45"/>
    <mergeCell ref="G42:G45"/>
    <mergeCell ref="D46:D48"/>
    <mergeCell ref="E46:F47"/>
    <mergeCell ref="E67:E70"/>
    <mergeCell ref="A46:A48"/>
    <mergeCell ref="A36:G36"/>
    <mergeCell ref="A37:A40"/>
    <mergeCell ref="G46:G48"/>
    <mergeCell ref="E37:E40"/>
    <mergeCell ref="F37:F40"/>
    <mergeCell ref="A42:A45"/>
    <mergeCell ref="B42:B45"/>
    <mergeCell ref="G37:G40"/>
    <mergeCell ref="A128:G128"/>
    <mergeCell ref="A129:A133"/>
    <mergeCell ref="B129:B133"/>
    <mergeCell ref="B55:B58"/>
    <mergeCell ref="C55:C58"/>
    <mergeCell ref="A94:G94"/>
    <mergeCell ref="A95:A97"/>
    <mergeCell ref="A67:A70"/>
    <mergeCell ref="B67:B70"/>
    <mergeCell ref="C67:C70"/>
    <mergeCell ref="G139:G143"/>
    <mergeCell ref="A144:A146"/>
    <mergeCell ref="B144:B146"/>
    <mergeCell ref="G144:G146"/>
    <mergeCell ref="A139:A143"/>
    <mergeCell ref="B139:B143"/>
    <mergeCell ref="C139:C143"/>
    <mergeCell ref="E139:E143"/>
    <mergeCell ref="F139:F143"/>
    <mergeCell ref="F104:F106"/>
    <mergeCell ref="G104:G106"/>
    <mergeCell ref="B95:B97"/>
    <mergeCell ref="C95:C97"/>
    <mergeCell ref="E95:E97"/>
    <mergeCell ref="F95:F97"/>
    <mergeCell ref="G95:G97"/>
    <mergeCell ref="F98:F100"/>
    <mergeCell ref="G98:G100"/>
    <mergeCell ref="B98:B100"/>
    <mergeCell ref="O1:P1"/>
    <mergeCell ref="A63:A66"/>
    <mergeCell ref="B63:B66"/>
    <mergeCell ref="C63:C66"/>
    <mergeCell ref="E63:E66"/>
    <mergeCell ref="F63:F66"/>
    <mergeCell ref="G63:G66"/>
    <mergeCell ref="B46:B48"/>
    <mergeCell ref="C46:C48"/>
    <mergeCell ref="A8:G8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7" r:id="rId1"/>
  <rowBreaks count="4" manualBreakCount="4">
    <brk id="45" max="255" man="1"/>
    <brk id="89" max="255" man="1"/>
    <brk id="143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H66"/>
  <sheetViews>
    <sheetView showGridLines="0" view="pageBreakPreview" zoomScaleSheetLayoutView="100" workbookViewId="0" topLeftCell="A1">
      <selection activeCell="G24" sqref="G24"/>
    </sheetView>
  </sheetViews>
  <sheetFormatPr defaultColWidth="9.00390625" defaultRowHeight="12"/>
  <cols>
    <col min="1" max="1" width="70.625" style="1022" customWidth="1"/>
    <col min="2" max="2" width="22.75390625" style="10" customWidth="1"/>
    <col min="3" max="3" width="9.25390625" style="903" customWidth="1"/>
    <col min="4" max="4" width="14.00390625" style="903" customWidth="1"/>
    <col min="5" max="5" width="12.00390625" style="903" customWidth="1"/>
    <col min="6" max="6" width="9.125" style="899" customWidth="1"/>
    <col min="7" max="7" width="10.875" style="1021" bestFit="1" customWidth="1"/>
    <col min="8" max="8" width="9.375" style="1022" bestFit="1" customWidth="1"/>
    <col min="9" max="16384" width="9.125" style="1022" customWidth="1"/>
  </cols>
  <sheetData>
    <row r="1" spans="1:2" ht="15.75" customHeight="1">
      <c r="A1" s="1282" t="s">
        <v>472</v>
      </c>
      <c r="B1" s="1282"/>
    </row>
    <row r="2" spans="1:2" ht="14.25" customHeight="1">
      <c r="A2" s="1283" t="s">
        <v>356</v>
      </c>
      <c r="B2" s="1283"/>
    </row>
    <row r="3" spans="1:2" ht="10.5" customHeight="1" thickBot="1">
      <c r="A3" s="3"/>
      <c r="B3" s="942"/>
    </row>
    <row r="4" spans="1:2" ht="15" customHeight="1">
      <c r="A4" s="1288" t="s">
        <v>334</v>
      </c>
      <c r="B4" s="1286" t="s">
        <v>473</v>
      </c>
    </row>
    <row r="5" spans="1:2" ht="18" customHeight="1">
      <c r="A5" s="1289"/>
      <c r="B5" s="1281"/>
    </row>
    <row r="6" spans="1:2" ht="12.75" customHeight="1" thickBot="1">
      <c r="A6" s="493">
        <v>1</v>
      </c>
      <c r="B6" s="448">
        <v>2</v>
      </c>
    </row>
    <row r="7" spans="1:5" ht="9.75" customHeight="1">
      <c r="A7" s="2"/>
      <c r="B7" s="217"/>
      <c r="D7" s="1023"/>
      <c r="E7" s="1023"/>
    </row>
    <row r="8" spans="1:5" ht="15">
      <c r="A8" s="348" t="s">
        <v>194</v>
      </c>
      <c r="B8" s="349">
        <f>SUM(B10,B31,B37,B40,B63,)</f>
        <v>124049454</v>
      </c>
      <c r="D8" s="1023"/>
      <c r="E8" s="1023"/>
    </row>
    <row r="9" spans="1:7" s="1025" customFormat="1" ht="14.25">
      <c r="A9" s="350"/>
      <c r="B9" s="351"/>
      <c r="C9" s="903"/>
      <c r="D9" s="903"/>
      <c r="E9" s="1023"/>
      <c r="F9" s="903"/>
      <c r="G9" s="1024"/>
    </row>
    <row r="10" spans="1:5" ht="12.75">
      <c r="A10" s="450" t="s">
        <v>336</v>
      </c>
      <c r="B10" s="451">
        <f>SUM(B11:B19,B23:B30)</f>
        <v>66984647</v>
      </c>
      <c r="D10" s="1026"/>
      <c r="E10" s="1026"/>
    </row>
    <row r="11" spans="1:5" ht="12.75">
      <c r="A11" s="30" t="s">
        <v>337</v>
      </c>
      <c r="B11" s="1027">
        <f>35100000+2820000</f>
        <v>37920000</v>
      </c>
      <c r="D11" s="1026"/>
      <c r="E11" s="1023"/>
    </row>
    <row r="12" spans="1:2" ht="12.75">
      <c r="A12" s="30" t="s">
        <v>338</v>
      </c>
      <c r="B12" s="1027">
        <f>166000+150000</f>
        <v>316000</v>
      </c>
    </row>
    <row r="13" spans="1:5" ht="12.75">
      <c r="A13" s="30" t="s">
        <v>525</v>
      </c>
      <c r="B13" s="1027">
        <f>64000</f>
        <v>64000</v>
      </c>
      <c r="E13" s="1026"/>
    </row>
    <row r="14" spans="1:2" ht="12.75">
      <c r="A14" s="30" t="s">
        <v>526</v>
      </c>
      <c r="B14" s="1027">
        <v>2000</v>
      </c>
    </row>
    <row r="15" spans="1:2" ht="12.75">
      <c r="A15" s="30" t="s">
        <v>527</v>
      </c>
      <c r="B15" s="1027">
        <v>168000</v>
      </c>
    </row>
    <row r="16" spans="1:2" ht="12.75">
      <c r="A16" s="30" t="s">
        <v>528</v>
      </c>
      <c r="B16" s="1027">
        <v>100000</v>
      </c>
    </row>
    <row r="17" spans="1:2" ht="12.75">
      <c r="A17" s="30" t="s">
        <v>529</v>
      </c>
      <c r="B17" s="1027">
        <v>120000</v>
      </c>
    </row>
    <row r="18" spans="1:2" ht="12.75">
      <c r="A18" s="30" t="s">
        <v>530</v>
      </c>
      <c r="B18" s="1027">
        <f>21000+2946+1279000</f>
        <v>1302946</v>
      </c>
    </row>
    <row r="19" spans="1:2" ht="12.75">
      <c r="A19" s="30" t="s">
        <v>531</v>
      </c>
      <c r="B19" s="1028">
        <f>SUM(B21:B22)</f>
        <v>25217205</v>
      </c>
    </row>
    <row r="20" spans="1:2" ht="12.75">
      <c r="A20" s="30" t="s">
        <v>339</v>
      </c>
      <c r="B20" s="1027"/>
    </row>
    <row r="21" spans="1:4" ht="12.75">
      <c r="A21" s="30" t="s">
        <v>176</v>
      </c>
      <c r="B21" s="760">
        <f>24277561-(10%*24277561)+2000000</f>
        <v>23849805</v>
      </c>
      <c r="D21" s="1029"/>
    </row>
    <row r="22" spans="1:2" ht="12.75">
      <c r="A22" s="30" t="s">
        <v>340</v>
      </c>
      <c r="B22" s="1027">
        <v>1367400</v>
      </c>
    </row>
    <row r="23" spans="1:4" ht="12.75">
      <c r="A23" s="30" t="s">
        <v>532</v>
      </c>
      <c r="B23" s="760">
        <f>45979+31386+198893-7734-893</f>
        <v>267631</v>
      </c>
      <c r="C23" s="58"/>
      <c r="D23" s="1029"/>
    </row>
    <row r="24" spans="1:4" ht="12.75">
      <c r="A24" s="30" t="s">
        <v>533</v>
      </c>
      <c r="B24" s="760">
        <f>197887+860</f>
        <v>198747</v>
      </c>
      <c r="C24" s="58"/>
      <c r="D24" s="1029"/>
    </row>
    <row r="25" spans="1:2" ht="12.75">
      <c r="A25" s="30" t="s">
        <v>474</v>
      </c>
      <c r="B25" s="1027">
        <v>629873</v>
      </c>
    </row>
    <row r="26" spans="1:2" ht="12.75">
      <c r="A26" s="30" t="s">
        <v>534</v>
      </c>
      <c r="B26" s="1027">
        <v>2000</v>
      </c>
    </row>
    <row r="27" spans="1:2" ht="12.75">
      <c r="A27" s="30" t="s">
        <v>535</v>
      </c>
      <c r="B27" s="1027">
        <v>340000</v>
      </c>
    </row>
    <row r="28" spans="1:2" ht="12.75">
      <c r="A28" s="30" t="s">
        <v>536</v>
      </c>
      <c r="B28" s="1027">
        <v>1045</v>
      </c>
    </row>
    <row r="29" spans="1:4" ht="12.75">
      <c r="A29" s="1030" t="s">
        <v>537</v>
      </c>
      <c r="B29" s="1027">
        <f>252000+40000</f>
        <v>292000</v>
      </c>
      <c r="D29" s="1031"/>
    </row>
    <row r="30" spans="1:4" ht="12.75">
      <c r="A30" s="32" t="s">
        <v>538</v>
      </c>
      <c r="B30" s="1028">
        <f>97200-54000</f>
        <v>43200</v>
      </c>
      <c r="D30" s="1026"/>
    </row>
    <row r="31" spans="1:2" ht="12.75">
      <c r="A31" s="450" t="s">
        <v>341</v>
      </c>
      <c r="B31" s="451">
        <f>SUM(B32,B33,B35,B36,)</f>
        <v>10991065</v>
      </c>
    </row>
    <row r="32" spans="1:2" ht="12.75">
      <c r="A32" s="30" t="s">
        <v>342</v>
      </c>
      <c r="B32" s="1027">
        <f>143000+895000</f>
        <v>1038000</v>
      </c>
    </row>
    <row r="33" spans="1:3" ht="12.75">
      <c r="A33" s="30" t="s">
        <v>343</v>
      </c>
      <c r="B33" s="1027">
        <f>1508+836666+23391-265000+293000</f>
        <v>889565</v>
      </c>
      <c r="C33" s="1026"/>
    </row>
    <row r="34" spans="1:2" ht="12.75">
      <c r="A34" s="30" t="s">
        <v>539</v>
      </c>
      <c r="B34" s="1027">
        <f>531566+23391</f>
        <v>554957</v>
      </c>
    </row>
    <row r="35" spans="1:5" ht="12.75">
      <c r="A35" s="30" t="s">
        <v>344</v>
      </c>
      <c r="B35" s="1027">
        <f>6712000+2136000</f>
        <v>8848000</v>
      </c>
      <c r="D35" s="1026"/>
      <c r="E35" s="1026"/>
    </row>
    <row r="36" spans="1:3" ht="12.75">
      <c r="A36" s="32" t="s">
        <v>345</v>
      </c>
      <c r="B36" s="1028">
        <f>27000+1000+126000+14000+12500+35000</f>
        <v>215500</v>
      </c>
      <c r="C36" s="1032"/>
    </row>
    <row r="37" spans="1:2" ht="12.75">
      <c r="A37" s="450" t="s">
        <v>346</v>
      </c>
      <c r="B37" s="451">
        <f>SUM(B38:B39)</f>
        <v>18006797</v>
      </c>
    </row>
    <row r="38" spans="1:4" ht="12.75">
      <c r="A38" s="61" t="s">
        <v>362</v>
      </c>
      <c r="B38" s="1033">
        <v>17181296</v>
      </c>
      <c r="D38" s="1034"/>
    </row>
    <row r="39" spans="1:4" ht="12.75">
      <c r="A39" s="32" t="s">
        <v>365</v>
      </c>
      <c r="B39" s="1028">
        <v>825501</v>
      </c>
      <c r="D39" s="1023"/>
    </row>
    <row r="40" spans="1:2" ht="12.75">
      <c r="A40" s="450" t="s">
        <v>366</v>
      </c>
      <c r="B40" s="451">
        <f>B41+B56+B59</f>
        <v>27531395</v>
      </c>
    </row>
    <row r="41" spans="1:2" ht="12.75">
      <c r="A41" s="30" t="s">
        <v>367</v>
      </c>
      <c r="B41" s="1027">
        <f>B42+B49+B52</f>
        <v>11856675</v>
      </c>
    </row>
    <row r="42" spans="1:2" ht="12.75">
      <c r="A42" s="30" t="s">
        <v>192</v>
      </c>
      <c r="B42" s="1027">
        <f>SUM(B43:B45)+B48</f>
        <v>4766124</v>
      </c>
    </row>
    <row r="43" spans="1:8" ht="12.75">
      <c r="A43" s="30" t="s">
        <v>540</v>
      </c>
      <c r="B43" s="760">
        <f>32000+356000+549000+322000+333000-333000</f>
        <v>1259000</v>
      </c>
      <c r="C43" s="1026"/>
      <c r="D43" s="1035"/>
      <c r="H43" s="1021"/>
    </row>
    <row r="44" spans="1:4" ht="12.75">
      <c r="A44" s="30" t="s">
        <v>475</v>
      </c>
      <c r="B44" s="760">
        <v>300000</v>
      </c>
      <c r="C44" s="1026"/>
      <c r="D44" s="1035"/>
    </row>
    <row r="45" spans="1:7" ht="12.75">
      <c r="A45" s="1036" t="s">
        <v>476</v>
      </c>
      <c r="B45" s="1027">
        <f>SUM(B46:B47)</f>
        <v>582124</v>
      </c>
      <c r="C45" s="1026"/>
      <c r="G45" s="1037"/>
    </row>
    <row r="46" spans="1:4" ht="12.75">
      <c r="A46" s="826" t="s">
        <v>477</v>
      </c>
      <c r="B46" s="1027">
        <v>494806</v>
      </c>
      <c r="C46" s="1026"/>
      <c r="D46" s="1038"/>
    </row>
    <row r="47" spans="1:4" ht="12.75">
      <c r="A47" s="826" t="s">
        <v>478</v>
      </c>
      <c r="B47" s="1027">
        <v>87318</v>
      </c>
      <c r="D47" s="1038"/>
    </row>
    <row r="48" spans="1:4" ht="12.75">
      <c r="A48" s="1036" t="s">
        <v>479</v>
      </c>
      <c r="B48" s="1027">
        <f>4500000-4000000+2125000</f>
        <v>2625000</v>
      </c>
      <c r="D48" s="1038"/>
    </row>
    <row r="49" spans="1:4" ht="12.75">
      <c r="A49" s="30" t="s">
        <v>541</v>
      </c>
      <c r="B49" s="1027">
        <f>SUM(B50:B51)</f>
        <v>6208042</v>
      </c>
      <c r="D49" s="1038"/>
    </row>
    <row r="50" spans="1:4" ht="12.75">
      <c r="A50" s="826" t="s">
        <v>542</v>
      </c>
      <c r="B50" s="1027">
        <f>700000+1700000+809500+289100+2400000-23100-400000+1130000-100000-500000-150000+290000-100000+50000</f>
        <v>6095500</v>
      </c>
      <c r="D50" s="1038"/>
    </row>
    <row r="51" spans="1:4" ht="25.5">
      <c r="A51" s="1230" t="s">
        <v>501</v>
      </c>
      <c r="B51" s="1027">
        <v>112542</v>
      </c>
      <c r="D51" s="1038"/>
    </row>
    <row r="52" spans="1:4" ht="12.75">
      <c r="A52" s="30" t="s">
        <v>193</v>
      </c>
      <c r="B52" s="1027">
        <f>SUM(B53:B55)</f>
        <v>882509</v>
      </c>
      <c r="D52" s="1038"/>
    </row>
    <row r="53" spans="1:4" ht="12.75">
      <c r="A53" s="30" t="s">
        <v>480</v>
      </c>
      <c r="B53" s="1027">
        <f>422892+446417</f>
        <v>869309</v>
      </c>
      <c r="D53" s="1038"/>
    </row>
    <row r="54" spans="1:4" ht="12.75">
      <c r="A54" s="30" t="s">
        <v>316</v>
      </c>
      <c r="B54" s="1027">
        <v>3200</v>
      </c>
      <c r="D54" s="1038"/>
    </row>
    <row r="55" spans="1:7" s="1025" customFormat="1" ht="12.75">
      <c r="A55" s="1030" t="s">
        <v>481</v>
      </c>
      <c r="B55" s="1027">
        <v>10000</v>
      </c>
      <c r="C55" s="903"/>
      <c r="D55" s="903"/>
      <c r="E55" s="903"/>
      <c r="F55" s="903"/>
      <c r="G55" s="1024"/>
    </row>
    <row r="56" spans="1:7" s="1025" customFormat="1" ht="12.75">
      <c r="A56" s="1030" t="s">
        <v>482</v>
      </c>
      <c r="B56" s="1027">
        <f>B58</f>
        <v>10714720</v>
      </c>
      <c r="C56" s="903"/>
      <c r="D56" s="903"/>
      <c r="E56" s="903"/>
      <c r="F56" s="903"/>
      <c r="G56" s="1024"/>
    </row>
    <row r="57" spans="1:7" s="1025" customFormat="1" ht="12.75">
      <c r="A57" s="1030" t="s">
        <v>483</v>
      </c>
      <c r="B57" s="1027"/>
      <c r="C57" s="903"/>
      <c r="D57" s="903"/>
      <c r="E57" s="903"/>
      <c r="F57" s="903"/>
      <c r="G57" s="1024"/>
    </row>
    <row r="58" spans="1:7" s="1025" customFormat="1" ht="12.75">
      <c r="A58" s="1030" t="s">
        <v>368</v>
      </c>
      <c r="B58" s="760">
        <f>305000+2000+175000+9050000+97000+949000+130000+6720</f>
        <v>10714720</v>
      </c>
      <c r="C58" s="903"/>
      <c r="D58" s="1029"/>
      <c r="E58" s="903"/>
      <c r="F58" s="903"/>
      <c r="G58" s="1024"/>
    </row>
    <row r="59" spans="1:7" s="1025" customFormat="1" ht="12.75">
      <c r="A59" s="1030" t="s">
        <v>484</v>
      </c>
      <c r="B59" s="1027">
        <f>SUM(B60:B62)</f>
        <v>4960000</v>
      </c>
      <c r="C59" s="903"/>
      <c r="D59" s="903"/>
      <c r="E59" s="903"/>
      <c r="F59" s="903"/>
      <c r="G59" s="1024"/>
    </row>
    <row r="60" spans="1:2" ht="12.75">
      <c r="A60" s="1030" t="s">
        <v>485</v>
      </c>
      <c r="B60" s="1027">
        <f>300000+10000+1350000</f>
        <v>1660000</v>
      </c>
    </row>
    <row r="61" spans="1:2" ht="12.75">
      <c r="A61" s="1030" t="s">
        <v>486</v>
      </c>
      <c r="B61" s="1027">
        <v>2700000</v>
      </c>
    </row>
    <row r="62" spans="1:2" ht="12.75">
      <c r="A62" s="1039" t="s">
        <v>487</v>
      </c>
      <c r="B62" s="1028">
        <v>600000</v>
      </c>
    </row>
    <row r="63" spans="1:2" ht="13.5" thickBot="1">
      <c r="A63" s="520" t="s">
        <v>374</v>
      </c>
      <c r="B63" s="521">
        <f>5500+12500+4700+35000+300000+50000+5000+50000+350+15000+7500+50000</f>
        <v>535550</v>
      </c>
    </row>
    <row r="64" ht="12">
      <c r="B64" s="1040"/>
    </row>
    <row r="65" ht="12">
      <c r="B65" s="1040"/>
    </row>
    <row r="66" ht="12">
      <c r="B66" s="1040"/>
    </row>
  </sheetData>
  <mergeCells count="4">
    <mergeCell ref="A4:A5"/>
    <mergeCell ref="B4:B5"/>
    <mergeCell ref="A1:B1"/>
    <mergeCell ref="A2:B2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453"/>
  <sheetViews>
    <sheetView showGridLines="0" view="pageBreakPreview" zoomScaleSheetLayoutView="100" workbookViewId="0" topLeftCell="A1">
      <selection activeCell="M11" sqref="M11"/>
    </sheetView>
  </sheetViews>
  <sheetFormatPr defaultColWidth="9.00390625" defaultRowHeight="12"/>
  <cols>
    <col min="1" max="1" width="6.75390625" style="10" customWidth="1"/>
    <col min="2" max="2" width="9.125" style="10" customWidth="1"/>
    <col min="3" max="3" width="52.25390625" style="10" customWidth="1"/>
    <col min="4" max="4" width="12.25390625" style="10" bestFit="1" customWidth="1"/>
    <col min="5" max="5" width="12.25390625" style="10" customWidth="1"/>
    <col min="6" max="6" width="12.75390625" style="10" customWidth="1"/>
    <col min="7" max="7" width="15.875" style="10" customWidth="1"/>
    <col min="8" max="9" width="14.875" style="10" customWidth="1"/>
    <col min="10" max="10" width="13.875" style="10" customWidth="1"/>
    <col min="11" max="11" width="16.75390625" style="10" hidden="1" customWidth="1"/>
    <col min="12" max="12" width="29.625" style="10" hidden="1" customWidth="1"/>
    <col min="13" max="16384" width="9.125" style="10" customWidth="1"/>
  </cols>
  <sheetData>
    <row r="1" spans="9:11" ht="55.5" customHeight="1">
      <c r="I1" s="1316" t="s">
        <v>59</v>
      </c>
      <c r="J1" s="1316"/>
      <c r="K1" s="133"/>
    </row>
    <row r="2" spans="1:11" ht="15.75">
      <c r="A2" s="1325" t="s">
        <v>206</v>
      </c>
      <c r="B2" s="1325"/>
      <c r="C2" s="1325"/>
      <c r="D2" s="1325"/>
      <c r="E2" s="1325"/>
      <c r="F2" s="1325"/>
      <c r="G2" s="1325"/>
      <c r="H2" s="1325"/>
      <c r="I2" s="1325"/>
      <c r="J2" s="1325"/>
      <c r="K2" s="385"/>
    </row>
    <row r="3" spans="1:11" ht="12">
      <c r="A3" s="1324" t="s">
        <v>354</v>
      </c>
      <c r="B3" s="1324"/>
      <c r="C3" s="1324"/>
      <c r="D3" s="1324"/>
      <c r="E3" s="1324"/>
      <c r="F3" s="1324"/>
      <c r="G3" s="1324"/>
      <c r="H3" s="1324"/>
      <c r="I3" s="1324"/>
      <c r="J3" s="1324"/>
      <c r="K3" s="453"/>
    </row>
    <row r="4" spans="1:11" s="29" customFormat="1" ht="33" customHeight="1" thickBot="1">
      <c r="A4" s="10"/>
      <c r="B4" s="10"/>
      <c r="C4" s="10"/>
      <c r="D4" s="10"/>
      <c r="E4" s="10"/>
      <c r="F4" s="10"/>
      <c r="G4" s="10"/>
      <c r="H4" s="10"/>
      <c r="I4" s="10"/>
      <c r="J4" s="594" t="s">
        <v>593</v>
      </c>
      <c r="K4" s="10"/>
    </row>
    <row r="5" spans="2:10" ht="12" customHeight="1">
      <c r="B5" s="1277" t="s">
        <v>375</v>
      </c>
      <c r="C5" s="1276" t="s">
        <v>395</v>
      </c>
      <c r="D5" s="1280" t="s">
        <v>335</v>
      </c>
      <c r="E5" s="1320" t="s">
        <v>555</v>
      </c>
      <c r="F5" s="1321"/>
      <c r="G5" s="1321"/>
      <c r="H5" s="1321"/>
      <c r="I5" s="1321"/>
      <c r="J5" s="1322"/>
    </row>
    <row r="6" spans="2:10" ht="12">
      <c r="B6" s="1278"/>
      <c r="C6" s="1271"/>
      <c r="D6" s="1274"/>
      <c r="E6" s="1268" t="s">
        <v>230</v>
      </c>
      <c r="F6" s="1319" t="s">
        <v>556</v>
      </c>
      <c r="G6" s="1319"/>
      <c r="H6" s="1319"/>
      <c r="I6" s="1319"/>
      <c r="J6" s="1270" t="s">
        <v>229</v>
      </c>
    </row>
    <row r="7" spans="2:10" ht="36">
      <c r="B7" s="1278"/>
      <c r="C7" s="1271"/>
      <c r="D7" s="1274"/>
      <c r="E7" s="1274"/>
      <c r="F7" s="449" t="s">
        <v>557</v>
      </c>
      <c r="G7" s="449" t="s">
        <v>370</v>
      </c>
      <c r="H7" s="449" t="s">
        <v>227</v>
      </c>
      <c r="I7" s="449" t="s">
        <v>228</v>
      </c>
      <c r="J7" s="1327"/>
    </row>
    <row r="8" spans="1:11" ht="12.75" thickBot="1">
      <c r="A8" s="29"/>
      <c r="B8" s="857">
        <v>1</v>
      </c>
      <c r="C8" s="858">
        <v>2</v>
      </c>
      <c r="D8" s="859">
        <v>3</v>
      </c>
      <c r="E8" s="859">
        <v>4</v>
      </c>
      <c r="F8" s="859">
        <v>5</v>
      </c>
      <c r="G8" s="859">
        <v>6</v>
      </c>
      <c r="H8" s="859">
        <v>7</v>
      </c>
      <c r="I8" s="859">
        <v>8</v>
      </c>
      <c r="J8" s="528">
        <v>9</v>
      </c>
      <c r="K8" s="29"/>
    </row>
    <row r="9" spans="2:10" ht="12">
      <c r="B9" s="144"/>
      <c r="C9" s="145"/>
      <c r="D9" s="145"/>
      <c r="E9" s="145"/>
      <c r="F9" s="145"/>
      <c r="G9" s="145"/>
      <c r="H9" s="145"/>
      <c r="I9" s="145"/>
      <c r="J9" s="856"/>
    </row>
    <row r="10" spans="2:10" ht="12">
      <c r="B10" s="146" t="s">
        <v>558</v>
      </c>
      <c r="C10" s="21" t="s">
        <v>559</v>
      </c>
      <c r="D10" s="130">
        <f>SUM(D74)</f>
        <v>61300</v>
      </c>
      <c r="E10" s="130">
        <f aca="true" t="shared" si="0" ref="E10:J10">SUM(E74)</f>
        <v>61300</v>
      </c>
      <c r="F10" s="130">
        <f t="shared" si="0"/>
        <v>0</v>
      </c>
      <c r="G10" s="130">
        <f t="shared" si="0"/>
        <v>0</v>
      </c>
      <c r="H10" s="130">
        <f t="shared" si="0"/>
        <v>0</v>
      </c>
      <c r="I10" s="130">
        <f t="shared" si="0"/>
        <v>0</v>
      </c>
      <c r="J10" s="563">
        <f t="shared" si="0"/>
        <v>0</v>
      </c>
    </row>
    <row r="11" spans="2:10" ht="12">
      <c r="B11" s="147"/>
      <c r="C11" s="16"/>
      <c r="D11" s="135"/>
      <c r="E11" s="129"/>
      <c r="F11" s="129"/>
      <c r="G11" s="129"/>
      <c r="H11" s="129"/>
      <c r="I11" s="129"/>
      <c r="J11" s="562"/>
    </row>
    <row r="12" spans="2:10" ht="12">
      <c r="B12" s="147" t="s">
        <v>560</v>
      </c>
      <c r="C12" s="16" t="s">
        <v>396</v>
      </c>
      <c r="D12" s="129"/>
      <c r="E12" s="129"/>
      <c r="F12" s="129"/>
      <c r="G12" s="129"/>
      <c r="H12" s="129"/>
      <c r="I12" s="129"/>
      <c r="J12" s="562"/>
    </row>
    <row r="13" spans="2:10" ht="12">
      <c r="B13" s="146"/>
      <c r="C13" s="21" t="s">
        <v>401</v>
      </c>
      <c r="D13" s="130">
        <f>SUM(D81)</f>
        <v>415000</v>
      </c>
      <c r="E13" s="130">
        <f aca="true" t="shared" si="1" ref="E13:J13">SUM(E81)</f>
        <v>90000</v>
      </c>
      <c r="F13" s="130">
        <f t="shared" si="1"/>
        <v>0</v>
      </c>
      <c r="G13" s="130">
        <f t="shared" si="1"/>
        <v>0</v>
      </c>
      <c r="H13" s="130">
        <f t="shared" si="1"/>
        <v>0</v>
      </c>
      <c r="I13" s="130">
        <f t="shared" si="1"/>
        <v>0</v>
      </c>
      <c r="J13" s="563">
        <f t="shared" si="1"/>
        <v>325000</v>
      </c>
    </row>
    <row r="14" spans="2:10" ht="12">
      <c r="B14" s="17"/>
      <c r="C14" s="16"/>
      <c r="D14" s="129"/>
      <c r="E14" s="129"/>
      <c r="F14" s="129"/>
      <c r="G14" s="129"/>
      <c r="H14" s="129"/>
      <c r="I14" s="129"/>
      <c r="J14" s="562"/>
    </row>
    <row r="15" spans="2:10" ht="12">
      <c r="B15" s="148">
        <v>600</v>
      </c>
      <c r="C15" s="21" t="s">
        <v>377</v>
      </c>
      <c r="D15" s="130">
        <f aca="true" t="shared" si="2" ref="D15:J15">SUM(D87+D267+D289)</f>
        <v>15829775</v>
      </c>
      <c r="E15" s="130">
        <f t="shared" si="2"/>
        <v>7359775</v>
      </c>
      <c r="F15" s="130">
        <f t="shared" si="2"/>
        <v>0</v>
      </c>
      <c r="G15" s="130">
        <f t="shared" si="2"/>
        <v>0</v>
      </c>
      <c r="H15" s="130">
        <f t="shared" si="2"/>
        <v>0</v>
      </c>
      <c r="I15" s="130">
        <f t="shared" si="2"/>
        <v>0</v>
      </c>
      <c r="J15" s="563">
        <f t="shared" si="2"/>
        <v>8470000</v>
      </c>
    </row>
    <row r="16" spans="2:10" ht="12">
      <c r="B16" s="17"/>
      <c r="C16" s="16"/>
      <c r="D16" s="129"/>
      <c r="E16" s="129"/>
      <c r="F16" s="129"/>
      <c r="G16" s="129"/>
      <c r="H16" s="129"/>
      <c r="I16" s="129"/>
      <c r="J16" s="562"/>
    </row>
    <row r="17" spans="2:10" ht="12">
      <c r="B17" s="148">
        <v>630</v>
      </c>
      <c r="C17" s="21" t="s">
        <v>378</v>
      </c>
      <c r="D17" s="130">
        <f>SUM(D93)</f>
        <v>172400</v>
      </c>
      <c r="E17" s="130">
        <f>SUM(E93)</f>
        <v>22400</v>
      </c>
      <c r="F17" s="130">
        <f>(F93)</f>
        <v>10000</v>
      </c>
      <c r="G17" s="130">
        <f>(G93)</f>
        <v>0</v>
      </c>
      <c r="H17" s="130">
        <f>(H93)</f>
        <v>0</v>
      </c>
      <c r="I17" s="130">
        <f>(I93)</f>
        <v>0</v>
      </c>
      <c r="J17" s="563">
        <f>(J93)</f>
        <v>150000</v>
      </c>
    </row>
    <row r="18" spans="2:10" ht="12">
      <c r="B18" s="17"/>
      <c r="C18" s="16"/>
      <c r="D18" s="129"/>
      <c r="E18" s="129"/>
      <c r="F18" s="129"/>
      <c r="G18" s="129"/>
      <c r="H18" s="129"/>
      <c r="I18" s="129"/>
      <c r="J18" s="562"/>
    </row>
    <row r="19" spans="2:10" ht="12">
      <c r="B19" s="148">
        <v>700</v>
      </c>
      <c r="C19" s="21" t="s">
        <v>379</v>
      </c>
      <c r="D19" s="130">
        <f>SUM(D97)</f>
        <v>16647000</v>
      </c>
      <c r="E19" s="130">
        <f aca="true" t="shared" si="3" ref="E19:J19">SUM(E97)</f>
        <v>3947000</v>
      </c>
      <c r="F19" s="130">
        <f t="shared" si="3"/>
        <v>2500000</v>
      </c>
      <c r="G19" s="130">
        <f t="shared" si="3"/>
        <v>70000</v>
      </c>
      <c r="H19" s="130">
        <f t="shared" si="3"/>
        <v>0</v>
      </c>
      <c r="I19" s="130">
        <f t="shared" si="3"/>
        <v>0</v>
      </c>
      <c r="J19" s="563">
        <f t="shared" si="3"/>
        <v>12700000</v>
      </c>
    </row>
    <row r="20" spans="2:10" ht="12">
      <c r="B20" s="17"/>
      <c r="C20" s="16"/>
      <c r="D20" s="129"/>
      <c r="E20" s="129"/>
      <c r="F20" s="129"/>
      <c r="G20" s="129"/>
      <c r="H20" s="129"/>
      <c r="I20" s="129"/>
      <c r="J20" s="562"/>
    </row>
    <row r="21" spans="2:10" ht="12">
      <c r="B21" s="148">
        <v>710</v>
      </c>
      <c r="C21" s="21" t="s">
        <v>380</v>
      </c>
      <c r="D21" s="130">
        <f>SUM(D103)</f>
        <v>1943168</v>
      </c>
      <c r="E21" s="130">
        <f>SUM(E103)</f>
        <v>658168</v>
      </c>
      <c r="F21" s="130">
        <f>SUM(F110)</f>
        <v>0</v>
      </c>
      <c r="G21" s="130">
        <f>SUM(G103)</f>
        <v>19800</v>
      </c>
      <c r="H21" s="130">
        <f>SUM(H103)</f>
        <v>0</v>
      </c>
      <c r="I21" s="130">
        <f>SUM(I103)</f>
        <v>0</v>
      </c>
      <c r="J21" s="563">
        <f>SUM(J103)</f>
        <v>1285000</v>
      </c>
    </row>
    <row r="22" spans="2:10" ht="12">
      <c r="B22" s="17"/>
      <c r="C22" s="16"/>
      <c r="D22" s="129"/>
      <c r="E22" s="129"/>
      <c r="F22" s="129"/>
      <c r="G22" s="129"/>
      <c r="H22" s="129"/>
      <c r="I22" s="129"/>
      <c r="J22" s="562"/>
    </row>
    <row r="23" spans="2:10" ht="12">
      <c r="B23" s="148">
        <v>750</v>
      </c>
      <c r="C23" s="21" t="s">
        <v>382</v>
      </c>
      <c r="D23" s="130">
        <f>SUM(D110+D225)</f>
        <v>12797171</v>
      </c>
      <c r="E23" s="130">
        <f>SUM(E110+E225)</f>
        <v>12043271</v>
      </c>
      <c r="F23" s="130">
        <f>(F110+F225)</f>
        <v>0</v>
      </c>
      <c r="G23" s="130">
        <f>(G110+G225)</f>
        <v>8797915</v>
      </c>
      <c r="H23" s="130">
        <f>(H110+H225)</f>
        <v>0</v>
      </c>
      <c r="I23" s="130">
        <f>(I110+I225)</f>
        <v>0</v>
      </c>
      <c r="J23" s="563">
        <f>(J110+J225)</f>
        <v>753900</v>
      </c>
    </row>
    <row r="24" spans="2:10" ht="12">
      <c r="B24" s="17"/>
      <c r="C24" s="16"/>
      <c r="D24" s="129"/>
      <c r="E24" s="129"/>
      <c r="F24" s="129"/>
      <c r="G24" s="129"/>
      <c r="H24" s="129"/>
      <c r="I24" s="129"/>
      <c r="J24" s="562"/>
    </row>
    <row r="25" spans="2:10" ht="12">
      <c r="B25" s="17">
        <v>751</v>
      </c>
      <c r="C25" s="16" t="s">
        <v>561</v>
      </c>
      <c r="D25" s="129"/>
      <c r="E25" s="129"/>
      <c r="F25" s="129"/>
      <c r="G25" s="129"/>
      <c r="H25" s="129"/>
      <c r="I25" s="129"/>
      <c r="J25" s="562"/>
    </row>
    <row r="26" spans="2:10" ht="12">
      <c r="B26" s="17"/>
      <c r="C26" s="16" t="s">
        <v>562</v>
      </c>
      <c r="D26" s="129"/>
      <c r="E26" s="129"/>
      <c r="F26" s="129"/>
      <c r="G26" s="129"/>
      <c r="H26" s="129"/>
      <c r="I26" s="129"/>
      <c r="J26" s="562"/>
    </row>
    <row r="27" spans="2:10" ht="12">
      <c r="B27" s="148"/>
      <c r="C27" s="21" t="s">
        <v>563</v>
      </c>
      <c r="D27" s="130">
        <f>SUM(D231)</f>
        <v>6720</v>
      </c>
      <c r="E27" s="130">
        <f aca="true" t="shared" si="4" ref="E27:J27">SUM(E231)</f>
        <v>6720</v>
      </c>
      <c r="F27" s="130">
        <f t="shared" si="4"/>
        <v>0</v>
      </c>
      <c r="G27" s="130">
        <f t="shared" si="4"/>
        <v>4239</v>
      </c>
      <c r="H27" s="130">
        <f t="shared" si="4"/>
        <v>0</v>
      </c>
      <c r="I27" s="130">
        <f t="shared" si="4"/>
        <v>0</v>
      </c>
      <c r="J27" s="563">
        <f t="shared" si="4"/>
        <v>0</v>
      </c>
    </row>
    <row r="28" spans="2:10" ht="12">
      <c r="B28" s="17"/>
      <c r="C28" s="16"/>
      <c r="D28" s="129"/>
      <c r="E28" s="129"/>
      <c r="F28" s="129"/>
      <c r="G28" s="129"/>
      <c r="H28" s="129"/>
      <c r="I28" s="129"/>
      <c r="J28" s="562"/>
    </row>
    <row r="29" spans="2:10" ht="12">
      <c r="B29" s="17">
        <v>754</v>
      </c>
      <c r="C29" s="16" t="s">
        <v>408</v>
      </c>
      <c r="D29" s="129"/>
      <c r="E29" s="129"/>
      <c r="F29" s="129"/>
      <c r="G29" s="129"/>
      <c r="H29" s="129"/>
      <c r="I29" s="129"/>
      <c r="J29" s="562"/>
    </row>
    <row r="30" spans="2:10" ht="12">
      <c r="B30" s="148"/>
      <c r="C30" s="21" t="s">
        <v>409</v>
      </c>
      <c r="D30" s="130">
        <f>SUM(D119)</f>
        <v>1348100</v>
      </c>
      <c r="E30" s="130">
        <f aca="true" t="shared" si="5" ref="E30:J30">SUM(E119)</f>
        <v>1348100</v>
      </c>
      <c r="F30" s="130">
        <f t="shared" si="5"/>
        <v>0</v>
      </c>
      <c r="G30" s="130">
        <f t="shared" si="5"/>
        <v>768090</v>
      </c>
      <c r="H30" s="130">
        <f t="shared" si="5"/>
        <v>0</v>
      </c>
      <c r="I30" s="130">
        <f t="shared" si="5"/>
        <v>0</v>
      </c>
      <c r="J30" s="563">
        <f t="shared" si="5"/>
        <v>0</v>
      </c>
    </row>
    <row r="31" spans="2:10" ht="12">
      <c r="B31" s="17"/>
      <c r="C31" s="16"/>
      <c r="D31" s="129"/>
      <c r="E31" s="129"/>
      <c r="F31" s="129"/>
      <c r="G31" s="129"/>
      <c r="H31" s="129"/>
      <c r="I31" s="129"/>
      <c r="J31" s="562"/>
    </row>
    <row r="32" spans="2:10" ht="12">
      <c r="B32" s="17">
        <v>756</v>
      </c>
      <c r="C32" s="16" t="s">
        <v>170</v>
      </c>
      <c r="D32" s="129"/>
      <c r="E32" s="129"/>
      <c r="F32" s="129"/>
      <c r="G32" s="129"/>
      <c r="H32" s="129"/>
      <c r="I32" s="129"/>
      <c r="J32" s="562"/>
    </row>
    <row r="33" spans="2:10" ht="12">
      <c r="B33" s="17"/>
      <c r="C33" s="16" t="s">
        <v>171</v>
      </c>
      <c r="D33" s="129"/>
      <c r="E33" s="129"/>
      <c r="F33" s="129"/>
      <c r="G33" s="129"/>
      <c r="H33" s="129"/>
      <c r="I33" s="129"/>
      <c r="J33" s="562"/>
    </row>
    <row r="34" spans="2:10" ht="12">
      <c r="B34" s="17"/>
      <c r="C34" s="16" t="s">
        <v>168</v>
      </c>
      <c r="D34" s="129"/>
      <c r="E34" s="129"/>
      <c r="F34" s="129"/>
      <c r="G34" s="129"/>
      <c r="H34" s="129"/>
      <c r="I34" s="129"/>
      <c r="J34" s="562"/>
    </row>
    <row r="35" spans="2:10" ht="12">
      <c r="B35" s="148"/>
      <c r="C35" s="21" t="s">
        <v>167</v>
      </c>
      <c r="D35" s="130">
        <f>SUM(D129)</f>
        <v>151800</v>
      </c>
      <c r="E35" s="130">
        <f aca="true" t="shared" si="6" ref="E35:J35">SUM(E129)</f>
        <v>151800</v>
      </c>
      <c r="F35" s="130">
        <f t="shared" si="6"/>
        <v>0</v>
      </c>
      <c r="G35" s="130">
        <f t="shared" si="6"/>
        <v>50000</v>
      </c>
      <c r="H35" s="130">
        <f t="shared" si="6"/>
        <v>0</v>
      </c>
      <c r="I35" s="130">
        <f t="shared" si="6"/>
        <v>0</v>
      </c>
      <c r="J35" s="563">
        <f t="shared" si="6"/>
        <v>0</v>
      </c>
    </row>
    <row r="36" spans="1:11" s="29" customFormat="1" ht="12">
      <c r="A36" s="10"/>
      <c r="B36" s="17"/>
      <c r="C36" s="16"/>
      <c r="D36" s="129"/>
      <c r="E36" s="129"/>
      <c r="F36" s="129"/>
      <c r="G36" s="129"/>
      <c r="H36" s="129"/>
      <c r="I36" s="129"/>
      <c r="J36" s="562"/>
      <c r="K36" s="10"/>
    </row>
    <row r="37" spans="2:10" ht="12">
      <c r="B37" s="148">
        <v>757</v>
      </c>
      <c r="C37" s="21" t="s">
        <v>564</v>
      </c>
      <c r="D37" s="130">
        <f>SUM(D134)</f>
        <v>1482750</v>
      </c>
      <c r="E37" s="130">
        <f aca="true" t="shared" si="7" ref="E37:J37">SUM(E134)</f>
        <v>1482750</v>
      </c>
      <c r="F37" s="130">
        <f t="shared" si="7"/>
        <v>0</v>
      </c>
      <c r="G37" s="130">
        <f t="shared" si="7"/>
        <v>0</v>
      </c>
      <c r="H37" s="130">
        <f t="shared" si="7"/>
        <v>1482750</v>
      </c>
      <c r="I37" s="130">
        <f t="shared" si="7"/>
        <v>0</v>
      </c>
      <c r="J37" s="563">
        <f t="shared" si="7"/>
        <v>0</v>
      </c>
    </row>
    <row r="38" spans="2:10" ht="12">
      <c r="B38" s="17"/>
      <c r="C38" s="16"/>
      <c r="D38" s="129"/>
      <c r="E38" s="129"/>
      <c r="F38" s="129"/>
      <c r="G38" s="129"/>
      <c r="H38" s="129"/>
      <c r="I38" s="129"/>
      <c r="J38" s="562"/>
    </row>
    <row r="39" spans="2:10" ht="12.75" thickBot="1">
      <c r="B39" s="18">
        <v>758</v>
      </c>
      <c r="C39" s="22" t="s">
        <v>386</v>
      </c>
      <c r="D39" s="140">
        <f>(D139)</f>
        <v>656809</v>
      </c>
      <c r="E39" s="140">
        <f aca="true" t="shared" si="8" ref="E39:J39">(E139)</f>
        <v>514130</v>
      </c>
      <c r="F39" s="140">
        <f t="shared" si="8"/>
        <v>0</v>
      </c>
      <c r="G39" s="140">
        <f t="shared" si="8"/>
        <v>0</v>
      </c>
      <c r="H39" s="140">
        <f t="shared" si="8"/>
        <v>0</v>
      </c>
      <c r="I39" s="140">
        <f t="shared" si="8"/>
        <v>0</v>
      </c>
      <c r="J39" s="591">
        <f t="shared" si="8"/>
        <v>142679</v>
      </c>
    </row>
    <row r="40" spans="1:11" ht="12">
      <c r="A40" s="29"/>
      <c r="B40" s="489">
        <v>1</v>
      </c>
      <c r="C40" s="496">
        <v>2</v>
      </c>
      <c r="D40" s="497">
        <v>3</v>
      </c>
      <c r="E40" s="497">
        <v>4</v>
      </c>
      <c r="F40" s="497">
        <v>5</v>
      </c>
      <c r="G40" s="497">
        <v>6</v>
      </c>
      <c r="H40" s="497">
        <v>7</v>
      </c>
      <c r="I40" s="497">
        <v>8</v>
      </c>
      <c r="J40" s="593">
        <v>9</v>
      </c>
      <c r="K40" s="29"/>
    </row>
    <row r="41" spans="2:10" ht="12">
      <c r="B41" s="17"/>
      <c r="C41" s="16"/>
      <c r="D41" s="129"/>
      <c r="E41" s="129"/>
      <c r="F41" s="129"/>
      <c r="G41" s="129"/>
      <c r="H41" s="129"/>
      <c r="I41" s="129"/>
      <c r="J41" s="562"/>
    </row>
    <row r="42" spans="2:10" ht="12">
      <c r="B42" s="148">
        <v>801</v>
      </c>
      <c r="C42" s="21" t="s">
        <v>387</v>
      </c>
      <c r="D42" s="130">
        <f>SUM(D143)</f>
        <v>37104600</v>
      </c>
      <c r="E42" s="130">
        <f aca="true" t="shared" si="9" ref="E42:J42">SUM(E143)</f>
        <v>36404600</v>
      </c>
      <c r="F42" s="130">
        <f t="shared" si="9"/>
        <v>35609100</v>
      </c>
      <c r="G42" s="130">
        <f t="shared" si="9"/>
        <v>102900</v>
      </c>
      <c r="H42" s="130">
        <f t="shared" si="9"/>
        <v>0</v>
      </c>
      <c r="I42" s="130">
        <f t="shared" si="9"/>
        <v>0</v>
      </c>
      <c r="J42" s="563">
        <f t="shared" si="9"/>
        <v>700000</v>
      </c>
    </row>
    <row r="43" spans="2:10" ht="12">
      <c r="B43" s="17"/>
      <c r="C43" s="16"/>
      <c r="D43" s="129"/>
      <c r="E43" s="129"/>
      <c r="F43" s="129"/>
      <c r="G43" s="129"/>
      <c r="H43" s="129"/>
      <c r="I43" s="129"/>
      <c r="J43" s="562"/>
    </row>
    <row r="44" spans="2:10" ht="12">
      <c r="B44" s="148">
        <v>851</v>
      </c>
      <c r="C44" s="21" t="s">
        <v>388</v>
      </c>
      <c r="D44" s="130">
        <f aca="true" t="shared" si="10" ref="D44:J44">SUM(D156+D236)</f>
        <v>752923</v>
      </c>
      <c r="E44" s="130">
        <f t="shared" si="10"/>
        <v>752923</v>
      </c>
      <c r="F44" s="130">
        <f t="shared" si="10"/>
        <v>95000</v>
      </c>
      <c r="G44" s="130">
        <f t="shared" si="10"/>
        <v>371700</v>
      </c>
      <c r="H44" s="130">
        <f t="shared" si="10"/>
        <v>0</v>
      </c>
      <c r="I44" s="130">
        <f t="shared" si="10"/>
        <v>0</v>
      </c>
      <c r="J44" s="563">
        <f t="shared" si="10"/>
        <v>0</v>
      </c>
    </row>
    <row r="45" spans="2:10" ht="12">
      <c r="B45" s="17"/>
      <c r="C45" s="16"/>
      <c r="D45" s="129"/>
      <c r="E45" s="129"/>
      <c r="F45" s="129"/>
      <c r="G45" s="129"/>
      <c r="H45" s="129"/>
      <c r="I45" s="129"/>
      <c r="J45" s="562"/>
    </row>
    <row r="46" spans="2:10" ht="12">
      <c r="B46" s="148">
        <v>852</v>
      </c>
      <c r="C46" s="21" t="s">
        <v>579</v>
      </c>
      <c r="D46" s="130">
        <f aca="true" t="shared" si="11" ref="D46:J46">SUM(D163+D240)</f>
        <v>17402379</v>
      </c>
      <c r="E46" s="130">
        <f t="shared" si="11"/>
        <v>17402379</v>
      </c>
      <c r="F46" s="130">
        <f t="shared" si="11"/>
        <v>225000</v>
      </c>
      <c r="G46" s="130">
        <f t="shared" si="11"/>
        <v>3314700</v>
      </c>
      <c r="H46" s="130">
        <f t="shared" si="11"/>
        <v>0</v>
      </c>
      <c r="I46" s="130">
        <f t="shared" si="11"/>
        <v>0</v>
      </c>
      <c r="J46" s="563">
        <f t="shared" si="11"/>
        <v>0</v>
      </c>
    </row>
    <row r="47" spans="2:10" ht="12">
      <c r="B47" s="150"/>
      <c r="C47" s="41"/>
      <c r="D47" s="41"/>
      <c r="E47" s="41"/>
      <c r="F47" s="260"/>
      <c r="G47" s="41"/>
      <c r="H47" s="41"/>
      <c r="I47" s="41"/>
      <c r="J47" s="595"/>
    </row>
    <row r="48" spans="2:10" ht="12">
      <c r="B48" s="17">
        <v>853</v>
      </c>
      <c r="C48" s="16" t="s">
        <v>166</v>
      </c>
      <c r="D48" s="16"/>
      <c r="E48" s="16"/>
      <c r="F48" s="55"/>
      <c r="G48" s="55"/>
      <c r="H48" s="55"/>
      <c r="I48" s="55"/>
      <c r="J48" s="596"/>
    </row>
    <row r="49" spans="2:10" ht="12">
      <c r="B49" s="148"/>
      <c r="C49" s="21" t="s">
        <v>165</v>
      </c>
      <c r="D49" s="130">
        <f aca="true" t="shared" si="12" ref="D49:J49">SUM(D174+D272)</f>
        <v>1696572</v>
      </c>
      <c r="E49" s="130">
        <f t="shared" si="12"/>
        <v>1696572</v>
      </c>
      <c r="F49" s="130">
        <f t="shared" si="12"/>
        <v>1063900</v>
      </c>
      <c r="G49" s="130">
        <f t="shared" si="12"/>
        <v>214388</v>
      </c>
      <c r="H49" s="130">
        <f t="shared" si="12"/>
        <v>0</v>
      </c>
      <c r="I49" s="130">
        <f t="shared" si="12"/>
        <v>0</v>
      </c>
      <c r="J49" s="563">
        <f t="shared" si="12"/>
        <v>0</v>
      </c>
    </row>
    <row r="50" spans="2:10" ht="12">
      <c r="B50" s="151"/>
      <c r="C50" s="145"/>
      <c r="D50" s="152"/>
      <c r="E50" s="152"/>
      <c r="F50" s="152"/>
      <c r="G50" s="152"/>
      <c r="H50" s="152"/>
      <c r="I50" s="152"/>
      <c r="J50" s="597"/>
    </row>
    <row r="51" spans="2:10" ht="12">
      <c r="B51" s="148">
        <v>854</v>
      </c>
      <c r="C51" s="21" t="s">
        <v>389</v>
      </c>
      <c r="D51" s="130">
        <f>SUM(D179)</f>
        <v>350000</v>
      </c>
      <c r="E51" s="130">
        <f aca="true" t="shared" si="13" ref="E51:J51">SUM(E179)</f>
        <v>350000</v>
      </c>
      <c r="F51" s="130">
        <f t="shared" si="13"/>
        <v>320000</v>
      </c>
      <c r="G51" s="130">
        <f t="shared" si="13"/>
        <v>0</v>
      </c>
      <c r="H51" s="130">
        <f t="shared" si="13"/>
        <v>0</v>
      </c>
      <c r="I51" s="130">
        <f t="shared" si="13"/>
        <v>0</v>
      </c>
      <c r="J51" s="563">
        <f t="shared" si="13"/>
        <v>0</v>
      </c>
    </row>
    <row r="52" spans="2:10" ht="12">
      <c r="B52" s="17"/>
      <c r="C52" s="16"/>
      <c r="D52" s="129"/>
      <c r="E52" s="129"/>
      <c r="F52" s="129"/>
      <c r="G52" s="129"/>
      <c r="H52" s="129"/>
      <c r="I52" s="129"/>
      <c r="J52" s="562"/>
    </row>
    <row r="53" spans="2:10" ht="12">
      <c r="B53" s="17">
        <v>900</v>
      </c>
      <c r="C53" s="16" t="s">
        <v>390</v>
      </c>
      <c r="D53" s="129"/>
      <c r="E53" s="129"/>
      <c r="F53" s="129"/>
      <c r="G53" s="129"/>
      <c r="H53" s="129"/>
      <c r="I53" s="129"/>
      <c r="J53" s="562"/>
    </row>
    <row r="54" spans="2:10" ht="12">
      <c r="B54" s="148"/>
      <c r="C54" s="21" t="s">
        <v>172</v>
      </c>
      <c r="D54" s="130">
        <f>SUM(D188)</f>
        <v>14468187</v>
      </c>
      <c r="E54" s="130">
        <f aca="true" t="shared" si="14" ref="E54:J54">SUM(E188)</f>
        <v>4966907</v>
      </c>
      <c r="F54" s="130">
        <f t="shared" si="14"/>
        <v>155535</v>
      </c>
      <c r="G54" s="130">
        <f t="shared" si="14"/>
        <v>200300</v>
      </c>
      <c r="H54" s="130">
        <f t="shared" si="14"/>
        <v>0</v>
      </c>
      <c r="I54" s="130">
        <f t="shared" si="14"/>
        <v>0</v>
      </c>
      <c r="J54" s="563">
        <f t="shared" si="14"/>
        <v>9501280</v>
      </c>
    </row>
    <row r="55" spans="2:10" ht="12">
      <c r="B55" s="17"/>
      <c r="C55" s="16"/>
      <c r="D55" s="129"/>
      <c r="E55" s="129"/>
      <c r="F55" s="129"/>
      <c r="G55" s="129"/>
      <c r="H55" s="129"/>
      <c r="I55" s="129"/>
      <c r="J55" s="562"/>
    </row>
    <row r="56" spans="2:10" ht="12">
      <c r="B56" s="17">
        <v>921</v>
      </c>
      <c r="C56" s="16" t="s">
        <v>391</v>
      </c>
      <c r="D56" s="129"/>
      <c r="E56" s="129"/>
      <c r="F56" s="129"/>
      <c r="G56" s="129"/>
      <c r="H56" s="129"/>
      <c r="I56" s="129"/>
      <c r="J56" s="562"/>
    </row>
    <row r="57" spans="1:11" s="36" customFormat="1" ht="12.75">
      <c r="A57" s="10"/>
      <c r="B57" s="148"/>
      <c r="C57" s="21" t="s">
        <v>392</v>
      </c>
      <c r="D57" s="130">
        <f>SUM(D201)</f>
        <v>5493000</v>
      </c>
      <c r="E57" s="130">
        <f aca="true" t="shared" si="15" ref="E57:J57">SUM(E201)</f>
        <v>4023000</v>
      </c>
      <c r="F57" s="130">
        <f t="shared" si="15"/>
        <v>3133300</v>
      </c>
      <c r="G57" s="130">
        <f t="shared" si="15"/>
        <v>119570</v>
      </c>
      <c r="H57" s="130">
        <f t="shared" si="15"/>
        <v>0</v>
      </c>
      <c r="I57" s="130">
        <f t="shared" si="15"/>
        <v>0</v>
      </c>
      <c r="J57" s="563">
        <f t="shared" si="15"/>
        <v>1470000</v>
      </c>
      <c r="K57" s="10"/>
    </row>
    <row r="58" spans="2:10" ht="12">
      <c r="B58" s="17"/>
      <c r="C58" s="41"/>
      <c r="D58" s="129"/>
      <c r="E58" s="129"/>
      <c r="F58" s="129"/>
      <c r="G58" s="129"/>
      <c r="H58" s="129"/>
      <c r="I58" s="129"/>
      <c r="J58" s="562"/>
    </row>
    <row r="59" spans="2:10" ht="12">
      <c r="B59" s="148">
        <v>926</v>
      </c>
      <c r="C59" s="42" t="s">
        <v>565</v>
      </c>
      <c r="D59" s="130">
        <f>SUM(D208)</f>
        <v>2969800</v>
      </c>
      <c r="E59" s="130">
        <f>SUM(E208)</f>
        <v>2969800</v>
      </c>
      <c r="F59" s="130">
        <f>(F208)</f>
        <v>750000</v>
      </c>
      <c r="G59" s="130">
        <f>(G208)</f>
        <v>1164300</v>
      </c>
      <c r="H59" s="130">
        <f>(H208)</f>
        <v>0</v>
      </c>
      <c r="I59" s="130">
        <f>(I208)</f>
        <v>0</v>
      </c>
      <c r="J59" s="563">
        <f>SUM(J208)</f>
        <v>0</v>
      </c>
    </row>
    <row r="60" spans="2:10" ht="12">
      <c r="B60" s="151"/>
      <c r="C60" s="145"/>
      <c r="D60" s="152"/>
      <c r="E60" s="152"/>
      <c r="F60" s="152"/>
      <c r="G60" s="152"/>
      <c r="H60" s="152"/>
      <c r="I60" s="152"/>
      <c r="J60" s="597"/>
    </row>
    <row r="61" spans="1:11" s="95" customFormat="1" ht="18.75" thickBot="1">
      <c r="A61" s="36"/>
      <c r="B61" s="35"/>
      <c r="C61" s="154" t="s">
        <v>566</v>
      </c>
      <c r="D61" s="155">
        <f aca="true" t="shared" si="16" ref="D61:J61">SUM(D10:D39,D42:D59)</f>
        <v>131749454</v>
      </c>
      <c r="E61" s="155">
        <f>SUM(E10:E39,E42:E59)</f>
        <v>96251595</v>
      </c>
      <c r="F61" s="155">
        <f t="shared" si="16"/>
        <v>43861835</v>
      </c>
      <c r="G61" s="155">
        <f t="shared" si="16"/>
        <v>15197902</v>
      </c>
      <c r="H61" s="155">
        <f t="shared" si="16"/>
        <v>1482750</v>
      </c>
      <c r="I61" s="155">
        <f t="shared" si="16"/>
        <v>0</v>
      </c>
      <c r="J61" s="598">
        <f t="shared" si="16"/>
        <v>35497859</v>
      </c>
      <c r="K61" s="854" t="s">
        <v>142</v>
      </c>
    </row>
    <row r="62" spans="1:11" s="96" customFormat="1" ht="12">
      <c r="A62" s="10"/>
      <c r="B62" s="6"/>
      <c r="C62" s="6"/>
      <c r="D62" s="6"/>
      <c r="E62" s="6"/>
      <c r="F62" s="6"/>
      <c r="G62" s="6"/>
      <c r="H62" s="6"/>
      <c r="I62" s="6"/>
      <c r="J62" s="6"/>
      <c r="K62" s="10"/>
    </row>
    <row r="63" spans="1:11" s="96" customFormat="1" ht="15" customHeight="1">
      <c r="A63" s="10"/>
      <c r="B63" s="153"/>
      <c r="C63" s="75"/>
      <c r="D63" s="6"/>
      <c r="E63" s="850"/>
      <c r="F63" s="851"/>
      <c r="G63" s="850"/>
      <c r="H63" s="6"/>
      <c r="I63" s="6"/>
      <c r="J63" s="6"/>
      <c r="K63" s="10"/>
    </row>
    <row r="64" spans="1:11" s="96" customFormat="1" ht="15" customHeight="1">
      <c r="A64" s="10"/>
      <c r="B64" s="153"/>
      <c r="C64" s="75"/>
      <c r="D64" s="6"/>
      <c r="E64" s="6"/>
      <c r="F64" s="851"/>
      <c r="G64" s="882"/>
      <c r="H64" s="6"/>
      <c r="I64" s="6"/>
      <c r="J64" s="6"/>
      <c r="K64" s="10"/>
    </row>
    <row r="65" spans="1:11" ht="15.75" customHeight="1">
      <c r="A65" s="1326" t="s">
        <v>207</v>
      </c>
      <c r="B65" s="1326"/>
      <c r="C65" s="1326"/>
      <c r="D65" s="1326"/>
      <c r="E65" s="1326"/>
      <c r="F65" s="1326"/>
      <c r="G65" s="1326"/>
      <c r="H65" s="1326"/>
      <c r="I65" s="1326"/>
      <c r="J65" s="1326"/>
      <c r="K65" s="454"/>
    </row>
    <row r="66" spans="1:11" ht="12.75" customHeight="1">
      <c r="A66" s="1285" t="s">
        <v>353</v>
      </c>
      <c r="B66" s="1285"/>
      <c r="C66" s="1285"/>
      <c r="D66" s="1285"/>
      <c r="E66" s="1285"/>
      <c r="F66" s="1285"/>
      <c r="G66" s="1285"/>
      <c r="H66" s="1285"/>
      <c r="I66" s="1285"/>
      <c r="J66" s="1285"/>
      <c r="K66" s="452"/>
    </row>
    <row r="67" spans="1:11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317" t="s">
        <v>593</v>
      </c>
      <c r="K67" s="59"/>
    </row>
    <row r="68" spans="1:10" ht="12.75" thickBot="1">
      <c r="A68" s="11"/>
      <c r="B68" s="11"/>
      <c r="C68" s="11"/>
      <c r="D68" s="11"/>
      <c r="E68" s="11"/>
      <c r="F68" s="11"/>
      <c r="G68" s="11"/>
      <c r="H68" s="11"/>
      <c r="I68" s="11"/>
      <c r="J68" s="1318"/>
    </row>
    <row r="69" spans="1:11" ht="12" customHeight="1">
      <c r="A69" s="1277" t="s">
        <v>375</v>
      </c>
      <c r="B69" s="1280" t="s">
        <v>394</v>
      </c>
      <c r="C69" s="1276" t="s">
        <v>395</v>
      </c>
      <c r="D69" s="1280" t="s">
        <v>335</v>
      </c>
      <c r="E69" s="1273" t="s">
        <v>555</v>
      </c>
      <c r="F69" s="1266"/>
      <c r="G69" s="1266"/>
      <c r="H69" s="1266"/>
      <c r="I69" s="1266"/>
      <c r="J69" s="1267"/>
      <c r="K69" s="96"/>
    </row>
    <row r="70" spans="1:11" ht="12">
      <c r="A70" s="1278"/>
      <c r="B70" s="1274"/>
      <c r="C70" s="1271"/>
      <c r="D70" s="1274"/>
      <c r="E70" s="1268" t="s">
        <v>230</v>
      </c>
      <c r="F70" s="1269" t="s">
        <v>556</v>
      </c>
      <c r="G70" s="1269"/>
      <c r="H70" s="1269"/>
      <c r="I70" s="1269"/>
      <c r="J70" s="1270" t="s">
        <v>229</v>
      </c>
      <c r="K70" s="96"/>
    </row>
    <row r="71" spans="1:11" ht="36">
      <c r="A71" s="1279"/>
      <c r="B71" s="1275"/>
      <c r="C71" s="1272"/>
      <c r="D71" s="1275"/>
      <c r="E71" s="1275"/>
      <c r="F71" s="461" t="s">
        <v>557</v>
      </c>
      <c r="G71" s="461" t="s">
        <v>371</v>
      </c>
      <c r="H71" s="461" t="s">
        <v>227</v>
      </c>
      <c r="I71" s="461" t="s">
        <v>228</v>
      </c>
      <c r="J71" s="1315"/>
      <c r="K71" s="96"/>
    </row>
    <row r="72" spans="1:10" ht="12.75" thickBot="1">
      <c r="A72" s="490">
        <v>1</v>
      </c>
      <c r="B72" s="491">
        <v>2</v>
      </c>
      <c r="C72" s="494">
        <v>3</v>
      </c>
      <c r="D72" s="491">
        <v>4</v>
      </c>
      <c r="E72" s="491">
        <v>5</v>
      </c>
      <c r="F72" s="491">
        <v>6</v>
      </c>
      <c r="G72" s="491">
        <v>7</v>
      </c>
      <c r="H72" s="491">
        <v>8</v>
      </c>
      <c r="I72" s="491">
        <v>9</v>
      </c>
      <c r="J72" s="495">
        <v>10</v>
      </c>
    </row>
    <row r="73" spans="1:10" ht="12">
      <c r="A73" s="14"/>
      <c r="B73" s="16"/>
      <c r="C73" s="16"/>
      <c r="D73" s="16"/>
      <c r="E73" s="16"/>
      <c r="F73" s="16"/>
      <c r="G73" s="16"/>
      <c r="H73" s="16"/>
      <c r="I73" s="16"/>
      <c r="J73" s="596"/>
    </row>
    <row r="74" spans="1:11" ht="12">
      <c r="A74" s="147" t="s">
        <v>558</v>
      </c>
      <c r="B74" s="43"/>
      <c r="C74" s="21" t="s">
        <v>559</v>
      </c>
      <c r="D74" s="130">
        <f aca="true" t="shared" si="17" ref="D74:J74">SUM(D76:D78)</f>
        <v>61300</v>
      </c>
      <c r="E74" s="130">
        <f t="shared" si="17"/>
        <v>61300</v>
      </c>
      <c r="F74" s="130">
        <f t="shared" si="17"/>
        <v>0</v>
      </c>
      <c r="G74" s="130">
        <f t="shared" si="17"/>
        <v>0</v>
      </c>
      <c r="H74" s="130">
        <f t="shared" si="17"/>
        <v>0</v>
      </c>
      <c r="I74" s="130">
        <f t="shared" si="17"/>
        <v>0</v>
      </c>
      <c r="J74" s="563">
        <f t="shared" si="17"/>
        <v>0</v>
      </c>
      <c r="K74" s="97"/>
    </row>
    <row r="75" spans="1:11" ht="12">
      <c r="A75" s="17"/>
      <c r="B75" s="20"/>
      <c r="C75" s="16"/>
      <c r="D75" s="129"/>
      <c r="E75" s="129"/>
      <c r="F75" s="129"/>
      <c r="G75" s="129"/>
      <c r="H75" s="129"/>
      <c r="I75" s="129"/>
      <c r="J75" s="562"/>
      <c r="K75" s="97"/>
    </row>
    <row r="76" spans="1:11" ht="12">
      <c r="A76" s="17"/>
      <c r="B76" s="134" t="s">
        <v>419</v>
      </c>
      <c r="C76" s="44" t="s">
        <v>420</v>
      </c>
      <c r="D76" s="129">
        <f>SUM(E76+J76)</f>
        <v>50000</v>
      </c>
      <c r="E76" s="135">
        <v>50000</v>
      </c>
      <c r="F76" s="135"/>
      <c r="G76" s="135"/>
      <c r="H76" s="135"/>
      <c r="I76" s="135"/>
      <c r="J76" s="599"/>
      <c r="K76" s="97"/>
    </row>
    <row r="77" spans="1:11" ht="12">
      <c r="A77" s="17"/>
      <c r="B77" s="134" t="s">
        <v>567</v>
      </c>
      <c r="C77" s="44" t="s">
        <v>568</v>
      </c>
      <c r="D77" s="129">
        <f>SUM(E77+J77)</f>
        <v>6000</v>
      </c>
      <c r="E77" s="135">
        <v>6000</v>
      </c>
      <c r="F77" s="135"/>
      <c r="G77" s="135"/>
      <c r="H77" s="135"/>
      <c r="I77" s="135"/>
      <c r="J77" s="599"/>
      <c r="K77" s="97"/>
    </row>
    <row r="78" spans="1:11" ht="12.75" thickBot="1">
      <c r="A78" s="45"/>
      <c r="B78" s="136" t="s">
        <v>421</v>
      </c>
      <c r="C78" s="46" t="s">
        <v>407</v>
      </c>
      <c r="D78" s="138">
        <f>SUM(E78+J78)</f>
        <v>5300</v>
      </c>
      <c r="E78" s="137">
        <v>5300</v>
      </c>
      <c r="F78" s="137"/>
      <c r="G78" s="137"/>
      <c r="H78" s="137"/>
      <c r="I78" s="137"/>
      <c r="J78" s="565"/>
      <c r="K78" s="97"/>
    </row>
    <row r="79" spans="1:11" ht="12.75" thickTop="1">
      <c r="A79" s="17"/>
      <c r="B79" s="20"/>
      <c r="C79" s="16"/>
      <c r="D79" s="129"/>
      <c r="E79" s="129"/>
      <c r="F79" s="129"/>
      <c r="G79" s="129"/>
      <c r="H79" s="129"/>
      <c r="I79" s="129"/>
      <c r="J79" s="562"/>
      <c r="K79" s="97"/>
    </row>
    <row r="80" spans="1:11" ht="12">
      <c r="A80" s="17">
        <v>400</v>
      </c>
      <c r="B80" s="20"/>
      <c r="C80" s="16" t="s">
        <v>396</v>
      </c>
      <c r="D80" s="129"/>
      <c r="E80" s="129"/>
      <c r="F80" s="129"/>
      <c r="G80" s="129"/>
      <c r="H80" s="129"/>
      <c r="I80" s="129"/>
      <c r="J80" s="562"/>
      <c r="K80" s="97"/>
    </row>
    <row r="81" spans="1:11" ht="12">
      <c r="A81" s="17"/>
      <c r="B81" s="43"/>
      <c r="C81" s="21" t="s">
        <v>401</v>
      </c>
      <c r="D81" s="139">
        <f>SUM(D83:D85)</f>
        <v>415000</v>
      </c>
      <c r="E81" s="139">
        <f>SUM(E83:E85)</f>
        <v>90000</v>
      </c>
      <c r="F81" s="139">
        <f>SUM(F83:F83)</f>
        <v>0</v>
      </c>
      <c r="G81" s="139">
        <f>SUM(G83:G83)</f>
        <v>0</v>
      </c>
      <c r="H81" s="139">
        <f>SUM(H83:H83)</f>
        <v>0</v>
      </c>
      <c r="I81" s="139">
        <f>SUM(I83:I83)</f>
        <v>0</v>
      </c>
      <c r="J81" s="563">
        <f>SUM(J83:J83)</f>
        <v>325000</v>
      </c>
      <c r="K81" s="97"/>
    </row>
    <row r="82" spans="1:11" ht="12">
      <c r="A82" s="17"/>
      <c r="B82" s="20"/>
      <c r="C82" s="16"/>
      <c r="D82" s="129"/>
      <c r="E82" s="129"/>
      <c r="F82" s="129"/>
      <c r="G82" s="129"/>
      <c r="H82" s="129"/>
      <c r="I82" s="129"/>
      <c r="J82" s="562"/>
      <c r="K82" s="97"/>
    </row>
    <row r="83" spans="1:11" ht="12">
      <c r="A83" s="92"/>
      <c r="B83" s="51">
        <v>40002</v>
      </c>
      <c r="C83" s="55" t="s">
        <v>402</v>
      </c>
      <c r="D83" s="129">
        <f>SUM(E83+J83)</f>
        <v>325000</v>
      </c>
      <c r="E83" s="49"/>
      <c r="F83" s="220"/>
      <c r="G83" s="49"/>
      <c r="H83" s="49"/>
      <c r="I83" s="49"/>
      <c r="J83" s="562">
        <v>325000</v>
      </c>
      <c r="K83" s="97"/>
    </row>
    <row r="84" spans="1:11" ht="12">
      <c r="A84" s="17"/>
      <c r="B84" s="20">
        <v>40004</v>
      </c>
      <c r="C84" s="16" t="s">
        <v>224</v>
      </c>
      <c r="D84" s="129">
        <f>SUM(E84+J84)</f>
        <v>40000</v>
      </c>
      <c r="E84" s="49">
        <v>40000</v>
      </c>
      <c r="F84" s="142"/>
      <c r="G84" s="129"/>
      <c r="H84" s="129"/>
      <c r="I84" s="129"/>
      <c r="J84" s="562"/>
      <c r="K84" s="97"/>
    </row>
    <row r="85" spans="1:11" ht="12.75" thickBot="1">
      <c r="A85" s="45"/>
      <c r="B85" s="47">
        <v>40095</v>
      </c>
      <c r="C85" s="46" t="s">
        <v>407</v>
      </c>
      <c r="D85" s="138">
        <f>SUM(E85+J85)</f>
        <v>50000</v>
      </c>
      <c r="E85" s="137">
        <v>50000</v>
      </c>
      <c r="F85" s="137"/>
      <c r="G85" s="137"/>
      <c r="H85" s="137"/>
      <c r="I85" s="137"/>
      <c r="J85" s="565"/>
      <c r="K85" s="97"/>
    </row>
    <row r="86" spans="1:11" ht="12.75" thickTop="1">
      <c r="A86" s="17"/>
      <c r="B86" s="20"/>
      <c r="C86" s="16"/>
      <c r="D86" s="129"/>
      <c r="E86" s="129"/>
      <c r="F86" s="129"/>
      <c r="G86" s="129"/>
      <c r="H86" s="129"/>
      <c r="I86" s="129"/>
      <c r="J86" s="562"/>
      <c r="K86" s="97"/>
    </row>
    <row r="87" spans="1:11" ht="12">
      <c r="A87" s="17">
        <v>600</v>
      </c>
      <c r="B87" s="43"/>
      <c r="C87" s="21" t="s">
        <v>377</v>
      </c>
      <c r="D87" s="130">
        <f aca="true" t="shared" si="18" ref="D87:J87">SUM(D89:D91)</f>
        <v>7809775</v>
      </c>
      <c r="E87" s="130">
        <f t="shared" si="18"/>
        <v>7059775</v>
      </c>
      <c r="F87" s="130">
        <f t="shared" si="18"/>
        <v>0</v>
      </c>
      <c r="G87" s="130">
        <f t="shared" si="18"/>
        <v>0</v>
      </c>
      <c r="H87" s="130">
        <f t="shared" si="18"/>
        <v>0</v>
      </c>
      <c r="I87" s="130">
        <f t="shared" si="18"/>
        <v>0</v>
      </c>
      <c r="J87" s="563">
        <f t="shared" si="18"/>
        <v>750000</v>
      </c>
      <c r="K87" s="97"/>
    </row>
    <row r="88" spans="1:11" ht="12">
      <c r="A88" s="17"/>
      <c r="B88" s="20"/>
      <c r="C88" s="16"/>
      <c r="D88" s="129"/>
      <c r="E88" s="129"/>
      <c r="F88" s="129"/>
      <c r="G88" s="129"/>
      <c r="H88" s="129"/>
      <c r="I88" s="129"/>
      <c r="J88" s="562"/>
      <c r="K88" s="97"/>
    </row>
    <row r="89" spans="1:11" ht="12">
      <c r="A89" s="17"/>
      <c r="B89" s="20">
        <v>60004</v>
      </c>
      <c r="C89" s="16" t="s">
        <v>569</v>
      </c>
      <c r="D89" s="129">
        <f>SUM(E89+J89)</f>
        <v>4694375</v>
      </c>
      <c r="E89" s="129">
        <v>4694375</v>
      </c>
      <c r="F89" s="129"/>
      <c r="G89" s="129"/>
      <c r="H89" s="129"/>
      <c r="I89" s="129"/>
      <c r="J89" s="562"/>
      <c r="K89" s="97"/>
    </row>
    <row r="90" spans="1:11" ht="12">
      <c r="A90" s="17"/>
      <c r="B90" s="20">
        <v>60016</v>
      </c>
      <c r="C90" s="16" t="s">
        <v>403</v>
      </c>
      <c r="D90" s="129">
        <f>SUM(E90+J90)</f>
        <v>3015400</v>
      </c>
      <c r="E90" s="129">
        <f>2415400-50000</f>
        <v>2365400</v>
      </c>
      <c r="F90" s="129"/>
      <c r="G90" s="129"/>
      <c r="H90" s="129"/>
      <c r="I90" s="129"/>
      <c r="J90" s="562">
        <f>600000+50000</f>
        <v>650000</v>
      </c>
      <c r="K90" s="97"/>
    </row>
    <row r="91" spans="1:11" ht="12.75" thickBot="1">
      <c r="A91" s="45"/>
      <c r="B91" s="47">
        <v>60095</v>
      </c>
      <c r="C91" s="46" t="s">
        <v>407</v>
      </c>
      <c r="D91" s="137">
        <f>SUM(E91+J91)</f>
        <v>100000</v>
      </c>
      <c r="E91" s="137"/>
      <c r="F91" s="137"/>
      <c r="G91" s="137"/>
      <c r="H91" s="137"/>
      <c r="I91" s="137"/>
      <c r="J91" s="565">
        <v>100000</v>
      </c>
      <c r="K91" s="97"/>
    </row>
    <row r="92" spans="1:11" ht="12.75" thickTop="1">
      <c r="A92" s="17"/>
      <c r="B92" s="20"/>
      <c r="C92" s="16"/>
      <c r="D92" s="129"/>
      <c r="E92" s="129"/>
      <c r="F92" s="129"/>
      <c r="G92" s="129"/>
      <c r="H92" s="129"/>
      <c r="I92" s="129"/>
      <c r="J92" s="562"/>
      <c r="K92" s="97"/>
    </row>
    <row r="93" spans="1:11" ht="12">
      <c r="A93" s="17">
        <v>630</v>
      </c>
      <c r="B93" s="43"/>
      <c r="C93" s="21" t="s">
        <v>378</v>
      </c>
      <c r="D93" s="130">
        <f aca="true" t="shared" si="19" ref="D93:J93">SUM(D95:D95)</f>
        <v>172400</v>
      </c>
      <c r="E93" s="130">
        <f t="shared" si="19"/>
        <v>22400</v>
      </c>
      <c r="F93" s="130">
        <f t="shared" si="19"/>
        <v>10000</v>
      </c>
      <c r="G93" s="130">
        <f t="shared" si="19"/>
        <v>0</v>
      </c>
      <c r="H93" s="130">
        <f t="shared" si="19"/>
        <v>0</v>
      </c>
      <c r="I93" s="130">
        <f t="shared" si="19"/>
        <v>0</v>
      </c>
      <c r="J93" s="563">
        <f t="shared" si="19"/>
        <v>150000</v>
      </c>
      <c r="K93" s="97"/>
    </row>
    <row r="94" spans="1:11" ht="12">
      <c r="A94" s="17"/>
      <c r="B94" s="20"/>
      <c r="C94" s="16"/>
      <c r="D94" s="129"/>
      <c r="E94" s="129"/>
      <c r="F94" s="129"/>
      <c r="G94" s="129"/>
      <c r="H94" s="129"/>
      <c r="I94" s="129"/>
      <c r="J94" s="562"/>
      <c r="K94" s="97"/>
    </row>
    <row r="95" spans="1:11" ht="12.75" thickBot="1">
      <c r="A95" s="45"/>
      <c r="B95" s="47">
        <v>63003</v>
      </c>
      <c r="C95" s="46" t="s">
        <v>404</v>
      </c>
      <c r="D95" s="137">
        <f>SUM(E95+J95)</f>
        <v>172400</v>
      </c>
      <c r="E95" s="137">
        <v>22400</v>
      </c>
      <c r="F95" s="137">
        <v>10000</v>
      </c>
      <c r="G95" s="137"/>
      <c r="H95" s="137"/>
      <c r="I95" s="137"/>
      <c r="J95" s="565">
        <v>150000</v>
      </c>
      <c r="K95" s="97"/>
    </row>
    <row r="96" spans="1:11" ht="12.75" thickTop="1">
      <c r="A96" s="17"/>
      <c r="B96" s="20"/>
      <c r="C96" s="16"/>
      <c r="D96" s="129"/>
      <c r="E96" s="129"/>
      <c r="F96" s="129"/>
      <c r="G96" s="129"/>
      <c r="H96" s="129"/>
      <c r="I96" s="129"/>
      <c r="J96" s="562"/>
      <c r="K96" s="97"/>
    </row>
    <row r="97" spans="1:11" ht="12">
      <c r="A97" s="17">
        <v>700</v>
      </c>
      <c r="B97" s="43"/>
      <c r="C97" s="21" t="s">
        <v>379</v>
      </c>
      <c r="D97" s="130">
        <f aca="true" t="shared" si="20" ref="D97:J97">SUM(D99:D101)</f>
        <v>16647000</v>
      </c>
      <c r="E97" s="130">
        <f t="shared" si="20"/>
        <v>3947000</v>
      </c>
      <c r="F97" s="130">
        <f t="shared" si="20"/>
        <v>2500000</v>
      </c>
      <c r="G97" s="130">
        <f t="shared" si="20"/>
        <v>70000</v>
      </c>
      <c r="H97" s="130">
        <f t="shared" si="20"/>
        <v>0</v>
      </c>
      <c r="I97" s="130">
        <f t="shared" si="20"/>
        <v>0</v>
      </c>
      <c r="J97" s="563">
        <f t="shared" si="20"/>
        <v>12700000</v>
      </c>
      <c r="K97" s="97"/>
    </row>
    <row r="98" spans="1:12" ht="12">
      <c r="A98" s="17"/>
      <c r="B98" s="20"/>
      <c r="C98" s="16"/>
      <c r="D98" s="129"/>
      <c r="E98" s="129"/>
      <c r="F98" s="129"/>
      <c r="G98" s="129"/>
      <c r="H98" s="129"/>
      <c r="I98" s="129"/>
      <c r="J98" s="562"/>
      <c r="K98" s="852" t="s">
        <v>134</v>
      </c>
      <c r="L98" s="847"/>
    </row>
    <row r="99" spans="1:12" ht="12">
      <c r="A99" s="17"/>
      <c r="B99" s="20">
        <v>70001</v>
      </c>
      <c r="C99" s="16" t="s">
        <v>247</v>
      </c>
      <c r="D99" s="129">
        <f>SUM(E99+J99)</f>
        <v>6874429</v>
      </c>
      <c r="E99" s="129">
        <f>2600000-25571</f>
        <v>2574429</v>
      </c>
      <c r="F99" s="129">
        <v>2500000</v>
      </c>
      <c r="G99" s="129"/>
      <c r="H99" s="129"/>
      <c r="I99" s="129"/>
      <c r="J99" s="562">
        <f>2630000-150000+1820000</f>
        <v>4300000</v>
      </c>
      <c r="K99" s="853">
        <f>SUM(F99,F145:F152,F183,F197,-47000,-50000,F176)</f>
        <v>39344535</v>
      </c>
      <c r="L99" s="847" t="s">
        <v>130</v>
      </c>
    </row>
    <row r="100" spans="1:12" ht="12">
      <c r="A100" s="17"/>
      <c r="B100" s="20">
        <v>70005</v>
      </c>
      <c r="C100" s="16" t="s">
        <v>405</v>
      </c>
      <c r="D100" s="129">
        <f>SUM(E100+J100)</f>
        <v>1747000</v>
      </c>
      <c r="E100" s="129">
        <f>1487000-140000</f>
        <v>1347000</v>
      </c>
      <c r="F100" s="129"/>
      <c r="G100" s="129">
        <v>70000</v>
      </c>
      <c r="H100" s="129"/>
      <c r="I100" s="129"/>
      <c r="J100" s="599">
        <f>700000-300000</f>
        <v>400000</v>
      </c>
      <c r="K100" s="853">
        <f>SUM(30000,47000,50000,F203,F204)</f>
        <v>3178300</v>
      </c>
      <c r="L100" s="847" t="s">
        <v>131</v>
      </c>
    </row>
    <row r="101" spans="1:12" ht="12.75" thickBot="1">
      <c r="A101" s="45"/>
      <c r="B101" s="47">
        <v>70095</v>
      </c>
      <c r="C101" s="46" t="s">
        <v>407</v>
      </c>
      <c r="D101" s="138">
        <f>SUM(E101+J101)</f>
        <v>8025571</v>
      </c>
      <c r="E101" s="137">
        <v>25571</v>
      </c>
      <c r="F101" s="137"/>
      <c r="G101" s="137"/>
      <c r="H101" s="137"/>
      <c r="I101" s="137"/>
      <c r="J101" s="565">
        <v>8000000</v>
      </c>
      <c r="K101" s="853">
        <f>SUM(20000,F95,F161,F171,F177,F182,F185,F205,F206,F211,168000)</f>
        <v>1257000</v>
      </c>
      <c r="L101" s="847" t="s">
        <v>132</v>
      </c>
    </row>
    <row r="102" spans="1:12" ht="12.75" thickTop="1">
      <c r="A102" s="17"/>
      <c r="B102" s="20"/>
      <c r="C102" s="16"/>
      <c r="D102" s="129"/>
      <c r="E102" s="129"/>
      <c r="F102" s="129"/>
      <c r="G102" s="129"/>
      <c r="H102" s="129"/>
      <c r="I102" s="129"/>
      <c r="J102" s="562"/>
      <c r="K102" s="853">
        <f>SUM(88000)</f>
        <v>88000</v>
      </c>
      <c r="L102" s="847" t="s">
        <v>133</v>
      </c>
    </row>
    <row r="103" spans="1:12" ht="12">
      <c r="A103" s="17">
        <v>710</v>
      </c>
      <c r="B103" s="43"/>
      <c r="C103" s="21" t="s">
        <v>380</v>
      </c>
      <c r="D103" s="130">
        <f>SUM(D105:D107)</f>
        <v>1943168</v>
      </c>
      <c r="E103" s="130">
        <f aca="true" t="shared" si="21" ref="E103:J103">SUM(E105:E107)</f>
        <v>658168</v>
      </c>
      <c r="F103" s="130">
        <f t="shared" si="21"/>
        <v>0</v>
      </c>
      <c r="G103" s="130">
        <f t="shared" si="21"/>
        <v>19800</v>
      </c>
      <c r="H103" s="130">
        <f t="shared" si="21"/>
        <v>0</v>
      </c>
      <c r="I103" s="130">
        <f t="shared" si="21"/>
        <v>0</v>
      </c>
      <c r="J103" s="563">
        <f t="shared" si="21"/>
        <v>1285000</v>
      </c>
      <c r="K103" s="853">
        <f>SUM(K99:K102)</f>
        <v>43867835</v>
      </c>
      <c r="L103" s="847"/>
    </row>
    <row r="104" spans="1:11" s="29" customFormat="1" ht="12">
      <c r="A104" s="17"/>
      <c r="B104" s="20"/>
      <c r="C104" s="16"/>
      <c r="D104" s="129"/>
      <c r="E104" s="129"/>
      <c r="F104" s="129"/>
      <c r="G104" s="129"/>
      <c r="H104" s="129"/>
      <c r="I104" s="129"/>
      <c r="J104" s="562"/>
      <c r="K104" s="97"/>
    </row>
    <row r="105" spans="1:11" ht="12">
      <c r="A105" s="17"/>
      <c r="B105" s="20">
        <v>71004</v>
      </c>
      <c r="C105" s="16" t="s">
        <v>571</v>
      </c>
      <c r="D105" s="129">
        <f>SUM(E105+J105)</f>
        <v>417100</v>
      </c>
      <c r="E105" s="129">
        <v>417100</v>
      </c>
      <c r="F105" s="129"/>
      <c r="G105" s="129">
        <v>9800</v>
      </c>
      <c r="H105" s="129"/>
      <c r="I105" s="129"/>
      <c r="J105" s="562"/>
      <c r="K105" s="97"/>
    </row>
    <row r="106" spans="1:11" ht="12">
      <c r="A106" s="17"/>
      <c r="B106" s="20">
        <v>71014</v>
      </c>
      <c r="C106" s="16" t="s">
        <v>406</v>
      </c>
      <c r="D106" s="129">
        <f>SUM(E106+J106)</f>
        <v>236068</v>
      </c>
      <c r="E106" s="129">
        <f>96068+140000</f>
        <v>236068</v>
      </c>
      <c r="F106" s="129"/>
      <c r="G106" s="129">
        <v>10000</v>
      </c>
      <c r="H106" s="129"/>
      <c r="I106" s="129"/>
      <c r="J106" s="562"/>
      <c r="K106" s="97"/>
    </row>
    <row r="107" spans="1:11" ht="12.75" thickBot="1">
      <c r="A107" s="18"/>
      <c r="B107" s="19">
        <v>71095</v>
      </c>
      <c r="C107" s="22" t="s">
        <v>407</v>
      </c>
      <c r="D107" s="140">
        <f>SUM(E107+J107)</f>
        <v>1290000</v>
      </c>
      <c r="E107" s="140">
        <v>5000</v>
      </c>
      <c r="F107" s="140"/>
      <c r="G107" s="140"/>
      <c r="H107" s="140"/>
      <c r="I107" s="140"/>
      <c r="J107" s="591">
        <v>1285000</v>
      </c>
      <c r="K107" s="97"/>
    </row>
    <row r="108" spans="1:11" ht="12">
      <c r="A108" s="489">
        <v>1</v>
      </c>
      <c r="B108" s="496">
        <v>2</v>
      </c>
      <c r="C108" s="496">
        <v>3</v>
      </c>
      <c r="D108" s="497">
        <v>4</v>
      </c>
      <c r="E108" s="497">
        <v>5</v>
      </c>
      <c r="F108" s="497">
        <v>6</v>
      </c>
      <c r="G108" s="497">
        <v>7</v>
      </c>
      <c r="H108" s="497">
        <v>8</v>
      </c>
      <c r="I108" s="497">
        <v>9</v>
      </c>
      <c r="J108" s="593">
        <v>10</v>
      </c>
      <c r="K108" s="97"/>
    </row>
    <row r="109" spans="1:11" ht="12">
      <c r="A109" s="17"/>
      <c r="B109" s="20"/>
      <c r="C109" s="16"/>
      <c r="D109" s="129"/>
      <c r="E109" s="129"/>
      <c r="F109" s="129"/>
      <c r="G109" s="129"/>
      <c r="H109" s="129"/>
      <c r="I109" s="129"/>
      <c r="J109" s="562"/>
      <c r="K109" s="97"/>
    </row>
    <row r="110" spans="1:11" ht="12">
      <c r="A110" s="17">
        <v>750</v>
      </c>
      <c r="B110" s="43"/>
      <c r="C110" s="21" t="s">
        <v>382</v>
      </c>
      <c r="D110" s="130">
        <f>SUM(D112:D116)</f>
        <v>12492171</v>
      </c>
      <c r="E110" s="130">
        <f aca="true" t="shared" si="22" ref="E110:J110">SUM(E112:E116)</f>
        <v>11738271</v>
      </c>
      <c r="F110" s="130">
        <f t="shared" si="22"/>
        <v>0</v>
      </c>
      <c r="G110" s="130">
        <f t="shared" si="22"/>
        <v>8492915</v>
      </c>
      <c r="H110" s="130">
        <f t="shared" si="22"/>
        <v>0</v>
      </c>
      <c r="I110" s="130">
        <f t="shared" si="22"/>
        <v>0</v>
      </c>
      <c r="J110" s="563">
        <f t="shared" si="22"/>
        <v>753900</v>
      </c>
      <c r="K110" s="97"/>
    </row>
    <row r="111" spans="1:11" ht="12">
      <c r="A111" s="17"/>
      <c r="B111" s="20"/>
      <c r="C111" s="16"/>
      <c r="D111" s="129"/>
      <c r="E111" s="129"/>
      <c r="F111" s="129"/>
      <c r="G111" s="129"/>
      <c r="H111" s="129"/>
      <c r="I111" s="129"/>
      <c r="J111" s="562"/>
      <c r="K111" s="97"/>
    </row>
    <row r="112" spans="1:11" ht="12">
      <c r="A112" s="17"/>
      <c r="B112" s="20">
        <v>75022</v>
      </c>
      <c r="C112" s="16" t="s">
        <v>588</v>
      </c>
      <c r="D112" s="129">
        <f>SUM(E112+J112)</f>
        <v>465880</v>
      </c>
      <c r="E112" s="129">
        <v>465880</v>
      </c>
      <c r="F112" s="129"/>
      <c r="G112" s="129">
        <v>3000</v>
      </c>
      <c r="H112" s="129"/>
      <c r="I112" s="129"/>
      <c r="J112" s="562"/>
      <c r="K112" s="97"/>
    </row>
    <row r="113" spans="1:11" ht="12">
      <c r="A113" s="17"/>
      <c r="B113" s="20">
        <v>75023</v>
      </c>
      <c r="C113" s="16" t="s">
        <v>240</v>
      </c>
      <c r="D113" s="129">
        <f>SUM(E113+J113)</f>
        <v>11172735</v>
      </c>
      <c r="E113" s="129">
        <v>10418835</v>
      </c>
      <c r="F113" s="129"/>
      <c r="G113" s="129">
        <v>8425460</v>
      </c>
      <c r="H113" s="129"/>
      <c r="I113" s="129"/>
      <c r="J113" s="562">
        <f>853900-100000</f>
        <v>753900</v>
      </c>
      <c r="K113" s="97"/>
    </row>
    <row r="114" spans="1:11" ht="12">
      <c r="A114" s="17"/>
      <c r="B114" s="20">
        <v>75055</v>
      </c>
      <c r="C114" s="16" t="s">
        <v>112</v>
      </c>
      <c r="D114" s="129">
        <f>SUM(E114+J114)</f>
        <v>40000</v>
      </c>
      <c r="E114" s="129">
        <v>40000</v>
      </c>
      <c r="F114" s="129"/>
      <c r="G114" s="129">
        <v>15455</v>
      </c>
      <c r="H114" s="129"/>
      <c r="I114" s="129"/>
      <c r="J114" s="562"/>
      <c r="K114" s="97"/>
    </row>
    <row r="115" spans="1:11" ht="12">
      <c r="A115" s="17"/>
      <c r="B115" s="20">
        <v>75075</v>
      </c>
      <c r="C115" s="16" t="s">
        <v>452</v>
      </c>
      <c r="D115" s="129">
        <f>SUM(E115+J115)</f>
        <v>327000</v>
      </c>
      <c r="E115" s="129">
        <v>327000</v>
      </c>
      <c r="F115" s="129"/>
      <c r="G115" s="129">
        <v>16000</v>
      </c>
      <c r="H115" s="129"/>
      <c r="I115" s="129"/>
      <c r="J115" s="562"/>
      <c r="K115" s="97"/>
    </row>
    <row r="116" spans="1:11" ht="12.75" thickBot="1">
      <c r="A116" s="45"/>
      <c r="B116" s="47">
        <v>75095</v>
      </c>
      <c r="C116" s="46" t="s">
        <v>407</v>
      </c>
      <c r="D116" s="138">
        <f>SUM(E116+J116)</f>
        <v>486556</v>
      </c>
      <c r="E116" s="137">
        <v>486556</v>
      </c>
      <c r="F116" s="137"/>
      <c r="G116" s="137">
        <v>33000</v>
      </c>
      <c r="H116" s="137"/>
      <c r="I116" s="137"/>
      <c r="J116" s="565"/>
      <c r="K116" s="97"/>
    </row>
    <row r="117" spans="1:11" ht="12.75" thickTop="1">
      <c r="A117" s="17"/>
      <c r="B117" s="20"/>
      <c r="C117" s="16"/>
      <c r="D117" s="129"/>
      <c r="E117" s="129"/>
      <c r="F117" s="129"/>
      <c r="G117" s="129"/>
      <c r="H117" s="129"/>
      <c r="I117" s="129"/>
      <c r="J117" s="562"/>
      <c r="K117" s="97"/>
    </row>
    <row r="118" spans="1:11" ht="12">
      <c r="A118" s="17">
        <v>754</v>
      </c>
      <c r="B118" s="20"/>
      <c r="C118" s="16" t="s">
        <v>408</v>
      </c>
      <c r="D118" s="129"/>
      <c r="E118" s="129"/>
      <c r="F118" s="129"/>
      <c r="G118" s="129"/>
      <c r="H118" s="129"/>
      <c r="I118" s="129"/>
      <c r="J118" s="562"/>
      <c r="K118" s="97"/>
    </row>
    <row r="119" spans="1:11" ht="12">
      <c r="A119" s="17"/>
      <c r="B119" s="43"/>
      <c r="C119" s="21" t="s">
        <v>409</v>
      </c>
      <c r="D119" s="130">
        <f aca="true" t="shared" si="23" ref="D119:J119">SUM(D121:D124)</f>
        <v>1348100</v>
      </c>
      <c r="E119" s="130">
        <f t="shared" si="23"/>
        <v>1348100</v>
      </c>
      <c r="F119" s="130">
        <f t="shared" si="23"/>
        <v>0</v>
      </c>
      <c r="G119" s="130">
        <f t="shared" si="23"/>
        <v>768090</v>
      </c>
      <c r="H119" s="130">
        <f t="shared" si="23"/>
        <v>0</v>
      </c>
      <c r="I119" s="130">
        <f t="shared" si="23"/>
        <v>0</v>
      </c>
      <c r="J119" s="563">
        <f t="shared" si="23"/>
        <v>0</v>
      </c>
      <c r="K119" s="97"/>
    </row>
    <row r="120" spans="1:11" ht="12">
      <c r="A120" s="17"/>
      <c r="B120" s="20"/>
      <c r="C120" s="16"/>
      <c r="D120" s="129"/>
      <c r="E120" s="129"/>
      <c r="F120" s="129"/>
      <c r="G120" s="129"/>
      <c r="H120" s="129"/>
      <c r="I120" s="129"/>
      <c r="J120" s="562"/>
      <c r="K120" s="97"/>
    </row>
    <row r="121" spans="1:11" ht="12">
      <c r="A121" s="17"/>
      <c r="B121" s="20">
        <v>75405</v>
      </c>
      <c r="C121" s="16" t="s">
        <v>223</v>
      </c>
      <c r="D121" s="129">
        <f>SUM(E121+J121)</f>
        <v>55000</v>
      </c>
      <c r="E121" s="129">
        <v>55000</v>
      </c>
      <c r="F121" s="129"/>
      <c r="G121" s="129"/>
      <c r="H121" s="129"/>
      <c r="I121" s="129"/>
      <c r="J121" s="562">
        <f>40000-40000</f>
        <v>0</v>
      </c>
      <c r="K121" s="97"/>
    </row>
    <row r="122" spans="1:11" ht="12">
      <c r="A122" s="17"/>
      <c r="B122" s="20">
        <v>75412</v>
      </c>
      <c r="C122" s="16" t="s">
        <v>424</v>
      </c>
      <c r="D122" s="129">
        <f>SUM(E122+J122)</f>
        <v>250000</v>
      </c>
      <c r="E122" s="129">
        <v>250000</v>
      </c>
      <c r="F122" s="129"/>
      <c r="G122" s="129">
        <v>70000</v>
      </c>
      <c r="H122" s="129"/>
      <c r="I122" s="129"/>
      <c r="J122" s="562"/>
      <c r="K122" s="97"/>
    </row>
    <row r="123" spans="1:11" ht="12">
      <c r="A123" s="17"/>
      <c r="B123" s="20">
        <v>75416</v>
      </c>
      <c r="C123" s="16" t="s">
        <v>410</v>
      </c>
      <c r="D123" s="129">
        <f>SUM(E123+J123)</f>
        <v>859000</v>
      </c>
      <c r="E123" s="129">
        <v>859000</v>
      </c>
      <c r="F123" s="129"/>
      <c r="G123" s="129">
        <v>698090</v>
      </c>
      <c r="H123" s="129"/>
      <c r="I123" s="129"/>
      <c r="J123" s="562"/>
      <c r="K123" s="97"/>
    </row>
    <row r="124" spans="1:11" ht="12.75" thickBot="1">
      <c r="A124" s="45"/>
      <c r="B124" s="47">
        <v>75495</v>
      </c>
      <c r="C124" s="46" t="s">
        <v>407</v>
      </c>
      <c r="D124" s="138">
        <f>SUM(E124+J124)</f>
        <v>184100</v>
      </c>
      <c r="E124" s="137">
        <v>184100</v>
      </c>
      <c r="F124" s="137"/>
      <c r="G124" s="137"/>
      <c r="H124" s="137"/>
      <c r="I124" s="137"/>
      <c r="J124" s="565"/>
      <c r="K124" s="97"/>
    </row>
    <row r="125" spans="1:11" ht="12.75" thickTop="1">
      <c r="A125" s="17"/>
      <c r="B125" s="20"/>
      <c r="C125" s="16"/>
      <c r="D125" s="129"/>
      <c r="E125" s="129"/>
      <c r="F125" s="129"/>
      <c r="G125" s="129"/>
      <c r="H125" s="129"/>
      <c r="I125" s="129"/>
      <c r="J125" s="562"/>
      <c r="K125" s="97"/>
    </row>
    <row r="126" spans="1:11" ht="12">
      <c r="A126" s="17">
        <v>756</v>
      </c>
      <c r="B126" s="51"/>
      <c r="C126" s="16" t="s">
        <v>170</v>
      </c>
      <c r="D126" s="129"/>
      <c r="E126" s="129"/>
      <c r="F126" s="129"/>
      <c r="G126" s="129"/>
      <c r="H126" s="129"/>
      <c r="I126" s="129"/>
      <c r="J126" s="562"/>
      <c r="K126" s="97"/>
    </row>
    <row r="127" spans="1:11" ht="12">
      <c r="A127" s="14"/>
      <c r="B127" s="51"/>
      <c r="C127" s="16" t="s">
        <v>171</v>
      </c>
      <c r="D127" s="129"/>
      <c r="E127" s="129"/>
      <c r="F127" s="129"/>
      <c r="G127" s="129"/>
      <c r="H127" s="129"/>
      <c r="I127" s="129"/>
      <c r="J127" s="562"/>
      <c r="K127" s="97"/>
    </row>
    <row r="128" spans="1:11" ht="12">
      <c r="A128" s="14"/>
      <c r="B128" s="51"/>
      <c r="C128" s="16" t="s">
        <v>168</v>
      </c>
      <c r="D128" s="129"/>
      <c r="E128" s="129"/>
      <c r="F128" s="129"/>
      <c r="G128" s="129"/>
      <c r="H128" s="129"/>
      <c r="I128" s="129"/>
      <c r="J128" s="562"/>
      <c r="K128" s="97"/>
    </row>
    <row r="129" spans="1:11" ht="12">
      <c r="A129" s="14"/>
      <c r="B129" s="52"/>
      <c r="C129" s="21" t="s">
        <v>167</v>
      </c>
      <c r="D129" s="130">
        <f>SUM(D132)</f>
        <v>151800</v>
      </c>
      <c r="E129" s="130">
        <f aca="true" t="shared" si="24" ref="E129:J129">SUM(E132)</f>
        <v>151800</v>
      </c>
      <c r="F129" s="130">
        <f t="shared" si="24"/>
        <v>0</v>
      </c>
      <c r="G129" s="130">
        <f t="shared" si="24"/>
        <v>50000</v>
      </c>
      <c r="H129" s="130">
        <f t="shared" si="24"/>
        <v>0</v>
      </c>
      <c r="I129" s="130">
        <f t="shared" si="24"/>
        <v>0</v>
      </c>
      <c r="J129" s="563">
        <f t="shared" si="24"/>
        <v>0</v>
      </c>
      <c r="K129" s="97"/>
    </row>
    <row r="130" spans="1:11" ht="12">
      <c r="A130" s="17"/>
      <c r="B130" s="20"/>
      <c r="C130" s="16"/>
      <c r="D130" s="129"/>
      <c r="E130" s="129"/>
      <c r="F130" s="129"/>
      <c r="G130" s="129"/>
      <c r="H130" s="129"/>
      <c r="I130" s="129"/>
      <c r="J130" s="562"/>
      <c r="K130" s="97"/>
    </row>
    <row r="131" spans="1:11" ht="12">
      <c r="A131" s="17"/>
      <c r="B131" s="20">
        <v>75647</v>
      </c>
      <c r="C131" s="16" t="s">
        <v>179</v>
      </c>
      <c r="D131" s="129"/>
      <c r="E131" s="129"/>
      <c r="F131" s="129"/>
      <c r="G131" s="129"/>
      <c r="H131" s="129"/>
      <c r="I131" s="129"/>
      <c r="J131" s="562"/>
      <c r="K131" s="97"/>
    </row>
    <row r="132" spans="1:11" ht="12.75" thickBot="1">
      <c r="A132" s="45"/>
      <c r="B132" s="47"/>
      <c r="C132" s="46" t="s">
        <v>180</v>
      </c>
      <c r="D132" s="137">
        <f>SUM(E132+J132)</f>
        <v>151800</v>
      </c>
      <c r="E132" s="137">
        <v>151800</v>
      </c>
      <c r="F132" s="137"/>
      <c r="G132" s="137">
        <v>50000</v>
      </c>
      <c r="H132" s="137"/>
      <c r="I132" s="137"/>
      <c r="J132" s="565"/>
      <c r="K132" s="97"/>
    </row>
    <row r="133" spans="1:11" ht="12.75" thickTop="1">
      <c r="A133" s="17"/>
      <c r="B133" s="20"/>
      <c r="C133" s="16"/>
      <c r="D133" s="129"/>
      <c r="E133" s="129"/>
      <c r="F133" s="129"/>
      <c r="G133" s="129"/>
      <c r="H133" s="129"/>
      <c r="I133" s="129"/>
      <c r="J133" s="562"/>
      <c r="K133" s="97"/>
    </row>
    <row r="134" spans="1:11" ht="12">
      <c r="A134" s="17">
        <v>757</v>
      </c>
      <c r="B134" s="43"/>
      <c r="C134" s="21" t="s">
        <v>564</v>
      </c>
      <c r="D134" s="130">
        <f>SUM(D137)</f>
        <v>1482750</v>
      </c>
      <c r="E134" s="130">
        <f aca="true" t="shared" si="25" ref="E134:J134">SUM(E137)</f>
        <v>1482750</v>
      </c>
      <c r="F134" s="130">
        <f t="shared" si="25"/>
        <v>0</v>
      </c>
      <c r="G134" s="130">
        <f t="shared" si="25"/>
        <v>0</v>
      </c>
      <c r="H134" s="130">
        <f t="shared" si="25"/>
        <v>1482750</v>
      </c>
      <c r="I134" s="130">
        <f t="shared" si="25"/>
        <v>0</v>
      </c>
      <c r="J134" s="563">
        <f t="shared" si="25"/>
        <v>0</v>
      </c>
      <c r="K134" s="97"/>
    </row>
    <row r="135" spans="1:11" ht="12">
      <c r="A135" s="17"/>
      <c r="B135" s="20"/>
      <c r="C135" s="16"/>
      <c r="D135" s="129"/>
      <c r="E135" s="129"/>
      <c r="F135" s="129"/>
      <c r="G135" s="129"/>
      <c r="H135" s="129"/>
      <c r="I135" s="129"/>
      <c r="J135" s="562"/>
      <c r="K135" s="97"/>
    </row>
    <row r="136" spans="1:11" ht="12">
      <c r="A136" s="17"/>
      <c r="B136" s="20">
        <v>75702</v>
      </c>
      <c r="C136" s="16" t="s">
        <v>572</v>
      </c>
      <c r="D136" s="129"/>
      <c r="E136" s="129"/>
      <c r="F136" s="129"/>
      <c r="G136" s="129"/>
      <c r="H136" s="129"/>
      <c r="I136" s="129"/>
      <c r="J136" s="562"/>
      <c r="K136" s="97"/>
    </row>
    <row r="137" spans="1:11" ht="12.75" thickBot="1">
      <c r="A137" s="45"/>
      <c r="B137" s="47"/>
      <c r="C137" s="46" t="s">
        <v>573</v>
      </c>
      <c r="D137" s="137">
        <f>SUM(E137+J137)</f>
        <v>1482750</v>
      </c>
      <c r="E137" s="137">
        <f>1482750</f>
        <v>1482750</v>
      </c>
      <c r="F137" s="137"/>
      <c r="G137" s="137"/>
      <c r="H137" s="137">
        <f>1482750</f>
        <v>1482750</v>
      </c>
      <c r="I137" s="137"/>
      <c r="J137" s="565"/>
      <c r="K137" s="97"/>
    </row>
    <row r="138" spans="1:11" ht="12.75" thickTop="1">
      <c r="A138" s="17"/>
      <c r="B138" s="20"/>
      <c r="C138" s="16"/>
      <c r="D138" s="129"/>
      <c r="E138" s="129"/>
      <c r="F138" s="129"/>
      <c r="G138" s="129"/>
      <c r="H138" s="129"/>
      <c r="I138" s="129"/>
      <c r="J138" s="562"/>
      <c r="K138" s="97"/>
    </row>
    <row r="139" spans="1:11" ht="12">
      <c r="A139" s="17">
        <v>758</v>
      </c>
      <c r="B139" s="43"/>
      <c r="C139" s="21" t="s">
        <v>386</v>
      </c>
      <c r="D139" s="130">
        <f aca="true" t="shared" si="26" ref="D139:J139">SUM(D141:D141)</f>
        <v>656809</v>
      </c>
      <c r="E139" s="130">
        <f t="shared" si="26"/>
        <v>514130</v>
      </c>
      <c r="F139" s="130">
        <f t="shared" si="26"/>
        <v>0</v>
      </c>
      <c r="G139" s="130">
        <f t="shared" si="26"/>
        <v>0</v>
      </c>
      <c r="H139" s="130">
        <f t="shared" si="26"/>
        <v>0</v>
      </c>
      <c r="I139" s="130">
        <f t="shared" si="26"/>
        <v>0</v>
      </c>
      <c r="J139" s="563">
        <f t="shared" si="26"/>
        <v>142679</v>
      </c>
      <c r="K139" s="97"/>
    </row>
    <row r="140" spans="1:11" ht="12">
      <c r="A140" s="17"/>
      <c r="B140" s="20"/>
      <c r="C140" s="16"/>
      <c r="D140" s="129"/>
      <c r="E140" s="129"/>
      <c r="F140" s="129"/>
      <c r="G140" s="129"/>
      <c r="H140" s="129"/>
      <c r="I140" s="129"/>
      <c r="J140" s="562"/>
      <c r="K140" s="97"/>
    </row>
    <row r="141" spans="1:11" ht="12.75" thickBot="1">
      <c r="A141" s="45"/>
      <c r="B141" s="47">
        <v>75818</v>
      </c>
      <c r="C141" s="855" t="s">
        <v>248</v>
      </c>
      <c r="D141" s="138">
        <f>SUM(E141+J141)</f>
        <v>656809</v>
      </c>
      <c r="E141" s="137">
        <f>894130-380000</f>
        <v>514130</v>
      </c>
      <c r="F141" s="137"/>
      <c r="G141" s="137"/>
      <c r="H141" s="137"/>
      <c r="I141" s="137"/>
      <c r="J141" s="565">
        <f>100000+42679</f>
        <v>142679</v>
      </c>
      <c r="K141" s="97"/>
    </row>
    <row r="142" spans="1:11" ht="12.75" thickTop="1">
      <c r="A142" s="14"/>
      <c r="B142" s="16"/>
      <c r="C142" s="16"/>
      <c r="D142" s="16"/>
      <c r="E142" s="16"/>
      <c r="F142" s="16"/>
      <c r="G142" s="16"/>
      <c r="H142" s="16"/>
      <c r="I142" s="16"/>
      <c r="J142" s="596"/>
      <c r="K142" s="97"/>
    </row>
    <row r="143" spans="1:11" ht="12">
      <c r="A143" s="17">
        <v>801</v>
      </c>
      <c r="B143" s="43"/>
      <c r="C143" s="21" t="s">
        <v>387</v>
      </c>
      <c r="D143" s="130">
        <f>SUM(D145:D153)</f>
        <v>37104600</v>
      </c>
      <c r="E143" s="130">
        <f aca="true" t="shared" si="27" ref="E143:J143">SUM(E145:E153)</f>
        <v>36404600</v>
      </c>
      <c r="F143" s="130">
        <f t="shared" si="27"/>
        <v>35609100</v>
      </c>
      <c r="G143" s="130">
        <f t="shared" si="27"/>
        <v>102900</v>
      </c>
      <c r="H143" s="130">
        <f t="shared" si="27"/>
        <v>0</v>
      </c>
      <c r="I143" s="130">
        <f t="shared" si="27"/>
        <v>0</v>
      </c>
      <c r="J143" s="563">
        <f t="shared" si="27"/>
        <v>700000</v>
      </c>
      <c r="K143" s="97"/>
    </row>
    <row r="144" spans="1:11" ht="12">
      <c r="A144" s="17"/>
      <c r="B144" s="20"/>
      <c r="C144" s="16"/>
      <c r="D144" s="129"/>
      <c r="E144" s="129"/>
      <c r="F144" s="129"/>
      <c r="G144" s="129"/>
      <c r="H144" s="129"/>
      <c r="I144" s="129"/>
      <c r="J144" s="562"/>
      <c r="K144" s="97"/>
    </row>
    <row r="145" spans="1:11" ht="12" customHeight="1">
      <c r="A145" s="17"/>
      <c r="B145" s="20">
        <v>80101</v>
      </c>
      <c r="C145" s="16" t="s">
        <v>413</v>
      </c>
      <c r="D145" s="129">
        <f>SUM(E145+J145)</f>
        <v>18367500</v>
      </c>
      <c r="E145" s="129">
        <f>18365100+2400</f>
        <v>18367500</v>
      </c>
      <c r="F145" s="129">
        <f>18365100+2400</f>
        <v>18367500</v>
      </c>
      <c r="G145" s="129"/>
      <c r="H145" s="129"/>
      <c r="I145" s="129"/>
      <c r="J145" s="562"/>
      <c r="K145" s="97"/>
    </row>
    <row r="146" spans="1:11" ht="12">
      <c r="A146" s="17"/>
      <c r="B146" s="20">
        <v>80103</v>
      </c>
      <c r="C146" s="16" t="s">
        <v>372</v>
      </c>
      <c r="D146" s="129">
        <f aca="true" t="shared" si="28" ref="D146:D153">SUM(E146+J146)</f>
        <v>578000</v>
      </c>
      <c r="E146" s="129">
        <v>578000</v>
      </c>
      <c r="F146" s="129">
        <v>578000</v>
      </c>
      <c r="G146" s="129"/>
      <c r="H146" s="129"/>
      <c r="I146" s="129"/>
      <c r="J146" s="562"/>
      <c r="K146" s="97"/>
    </row>
    <row r="147" spans="1:11" ht="12">
      <c r="A147" s="17"/>
      <c r="B147" s="20">
        <v>80104</v>
      </c>
      <c r="C147" s="16" t="s">
        <v>583</v>
      </c>
      <c r="D147" s="129">
        <f t="shared" si="28"/>
        <v>8139500</v>
      </c>
      <c r="E147" s="129">
        <v>7439500</v>
      </c>
      <c r="F147" s="129">
        <v>7439500</v>
      </c>
      <c r="G147" s="129"/>
      <c r="H147" s="129"/>
      <c r="I147" s="129"/>
      <c r="J147" s="562">
        <v>700000</v>
      </c>
      <c r="K147" s="225"/>
    </row>
    <row r="148" spans="1:11" ht="12">
      <c r="A148" s="17"/>
      <c r="B148" s="20">
        <v>80105</v>
      </c>
      <c r="C148" s="16" t="s">
        <v>584</v>
      </c>
      <c r="D148" s="129">
        <f t="shared" si="28"/>
        <v>50000</v>
      </c>
      <c r="E148" s="129">
        <v>50000</v>
      </c>
      <c r="F148" s="129">
        <v>50000</v>
      </c>
      <c r="G148" s="129"/>
      <c r="H148" s="129"/>
      <c r="I148" s="129"/>
      <c r="J148" s="562"/>
      <c r="K148" s="97"/>
    </row>
    <row r="149" spans="1:11" ht="12">
      <c r="A149" s="17"/>
      <c r="B149" s="20">
        <v>80110</v>
      </c>
      <c r="C149" s="16" t="s">
        <v>414</v>
      </c>
      <c r="D149" s="129">
        <f t="shared" si="28"/>
        <v>8929300</v>
      </c>
      <c r="E149" s="129">
        <f>8928500+800</f>
        <v>8929300</v>
      </c>
      <c r="F149" s="129">
        <f>8928500+800</f>
        <v>8929300</v>
      </c>
      <c r="G149" s="129"/>
      <c r="H149" s="129"/>
      <c r="I149" s="129"/>
      <c r="J149" s="562"/>
      <c r="K149" s="226"/>
    </row>
    <row r="150" spans="1:11" s="29" customFormat="1" ht="12">
      <c r="A150" s="17" t="s">
        <v>333</v>
      </c>
      <c r="B150" s="20">
        <v>80113</v>
      </c>
      <c r="C150" s="16" t="s">
        <v>574</v>
      </c>
      <c r="D150" s="129">
        <f t="shared" si="28"/>
        <v>475400</v>
      </c>
      <c r="E150" s="129">
        <v>475400</v>
      </c>
      <c r="F150" s="129"/>
      <c r="G150" s="129">
        <v>74500</v>
      </c>
      <c r="H150" s="129"/>
      <c r="I150" s="129"/>
      <c r="J150" s="562"/>
      <c r="K150" s="97"/>
    </row>
    <row r="151" spans="1:11" ht="12">
      <c r="A151" s="17"/>
      <c r="B151" s="20">
        <v>80146</v>
      </c>
      <c r="C151" s="16" t="s">
        <v>656</v>
      </c>
      <c r="D151" s="129">
        <f t="shared" si="28"/>
        <v>171800</v>
      </c>
      <c r="E151" s="129">
        <v>171800</v>
      </c>
      <c r="F151" s="129">
        <v>171800</v>
      </c>
      <c r="G151" s="129"/>
      <c r="H151" s="129"/>
      <c r="I151" s="129"/>
      <c r="J151" s="562"/>
      <c r="K151" s="97"/>
    </row>
    <row r="152" spans="1:11" ht="12">
      <c r="A152" s="17"/>
      <c r="B152" s="20">
        <v>80148</v>
      </c>
      <c r="C152" s="16" t="s">
        <v>209</v>
      </c>
      <c r="D152" s="129">
        <f t="shared" si="28"/>
        <v>73000</v>
      </c>
      <c r="E152" s="129">
        <v>73000</v>
      </c>
      <c r="F152" s="129">
        <v>73000</v>
      </c>
      <c r="G152" s="129"/>
      <c r="H152" s="129"/>
      <c r="I152" s="129"/>
      <c r="J152" s="562"/>
      <c r="K152" s="97"/>
    </row>
    <row r="153" spans="1:11" ht="12.75" thickBot="1">
      <c r="A153" s="18"/>
      <c r="B153" s="19">
        <v>80195</v>
      </c>
      <c r="C153" s="22" t="s">
        <v>407</v>
      </c>
      <c r="D153" s="140">
        <f t="shared" si="28"/>
        <v>320100</v>
      </c>
      <c r="E153" s="140">
        <v>320100</v>
      </c>
      <c r="F153" s="140"/>
      <c r="G153" s="140">
        <v>28400</v>
      </c>
      <c r="H153" s="140"/>
      <c r="I153" s="140"/>
      <c r="J153" s="591"/>
      <c r="K153" s="97"/>
    </row>
    <row r="154" spans="1:11" ht="12">
      <c r="A154" s="489">
        <v>1</v>
      </c>
      <c r="B154" s="496">
        <v>2</v>
      </c>
      <c r="C154" s="496">
        <v>3</v>
      </c>
      <c r="D154" s="497">
        <v>4</v>
      </c>
      <c r="E154" s="497">
        <v>5</v>
      </c>
      <c r="F154" s="497">
        <v>6</v>
      </c>
      <c r="G154" s="497">
        <v>7</v>
      </c>
      <c r="H154" s="497">
        <v>8</v>
      </c>
      <c r="I154" s="497">
        <v>9</v>
      </c>
      <c r="J154" s="593">
        <v>10</v>
      </c>
      <c r="K154" s="97"/>
    </row>
    <row r="155" spans="1:11" ht="12">
      <c r="A155" s="17"/>
      <c r="B155" s="20"/>
      <c r="C155" s="16"/>
      <c r="D155" s="129"/>
      <c r="E155" s="129"/>
      <c r="F155" s="129"/>
      <c r="G155" s="129"/>
      <c r="H155" s="129"/>
      <c r="I155" s="129"/>
      <c r="J155" s="562"/>
      <c r="K155" s="97"/>
    </row>
    <row r="156" spans="1:11" ht="12">
      <c r="A156" s="17">
        <v>851</v>
      </c>
      <c r="B156" s="43"/>
      <c r="C156" s="21" t="s">
        <v>388</v>
      </c>
      <c r="D156" s="130">
        <f aca="true" t="shared" si="29" ref="D156:J156">SUM(D158:D161)</f>
        <v>750923</v>
      </c>
      <c r="E156" s="130">
        <f t="shared" si="29"/>
        <v>750923</v>
      </c>
      <c r="F156" s="130">
        <f t="shared" si="29"/>
        <v>95000</v>
      </c>
      <c r="G156" s="130">
        <f t="shared" si="29"/>
        <v>369850</v>
      </c>
      <c r="H156" s="130">
        <f t="shared" si="29"/>
        <v>0</v>
      </c>
      <c r="I156" s="130">
        <f t="shared" si="29"/>
        <v>0</v>
      </c>
      <c r="J156" s="563">
        <f t="shared" si="29"/>
        <v>0</v>
      </c>
      <c r="K156" s="97"/>
    </row>
    <row r="157" spans="1:11" ht="12">
      <c r="A157" s="17"/>
      <c r="B157" s="20"/>
      <c r="C157" s="16"/>
      <c r="D157" s="129"/>
      <c r="E157" s="129"/>
      <c r="F157" s="129"/>
      <c r="G157" s="129"/>
      <c r="H157" s="129"/>
      <c r="I157" s="129"/>
      <c r="J157" s="562"/>
      <c r="K157" s="97"/>
    </row>
    <row r="158" spans="1:11" ht="12">
      <c r="A158" s="17"/>
      <c r="B158" s="20">
        <v>85149</v>
      </c>
      <c r="C158" s="16" t="s">
        <v>249</v>
      </c>
      <c r="D158" s="129">
        <f>SUM(E158+J158)</f>
        <v>76000</v>
      </c>
      <c r="E158" s="129">
        <v>76000</v>
      </c>
      <c r="F158" s="129"/>
      <c r="G158" s="129"/>
      <c r="H158" s="129"/>
      <c r="I158" s="129"/>
      <c r="J158" s="562"/>
      <c r="K158" s="97"/>
    </row>
    <row r="159" spans="1:11" ht="12">
      <c r="A159" s="17"/>
      <c r="B159" s="20">
        <v>85153</v>
      </c>
      <c r="C159" s="16" t="s">
        <v>453</v>
      </c>
      <c r="D159" s="129">
        <f>SUM(E159+J159)</f>
        <v>48600</v>
      </c>
      <c r="E159" s="129">
        <v>48600</v>
      </c>
      <c r="F159" s="129"/>
      <c r="G159" s="129"/>
      <c r="H159" s="129"/>
      <c r="I159" s="49"/>
      <c r="J159" s="313"/>
      <c r="K159" s="97"/>
    </row>
    <row r="160" spans="1:11" ht="12">
      <c r="A160" s="17"/>
      <c r="B160" s="20">
        <v>85154</v>
      </c>
      <c r="C160" s="55" t="s">
        <v>575</v>
      </c>
      <c r="D160" s="129">
        <f>SUM(E160+J160)</f>
        <v>581273</v>
      </c>
      <c r="E160" s="49">
        <v>581273</v>
      </c>
      <c r="F160" s="49">
        <v>50000</v>
      </c>
      <c r="G160" s="49">
        <v>369850</v>
      </c>
      <c r="H160" s="49"/>
      <c r="I160" s="49"/>
      <c r="J160" s="313"/>
      <c r="K160" s="97"/>
    </row>
    <row r="161" spans="1:11" ht="12.75" thickBot="1">
      <c r="A161" s="45"/>
      <c r="B161" s="47">
        <v>85195</v>
      </c>
      <c r="C161" s="46" t="s">
        <v>407</v>
      </c>
      <c r="D161" s="138">
        <f>SUM(E161+J161)</f>
        <v>45050</v>
      </c>
      <c r="E161" s="137">
        <v>45050</v>
      </c>
      <c r="F161" s="137">
        <v>45000</v>
      </c>
      <c r="G161" s="137"/>
      <c r="H161" s="137"/>
      <c r="I161" s="137"/>
      <c r="J161" s="565"/>
      <c r="K161" s="97"/>
    </row>
    <row r="162" spans="1:11" ht="12.75" thickTop="1">
      <c r="A162" s="17"/>
      <c r="B162" s="20"/>
      <c r="C162" s="16"/>
      <c r="D162" s="129"/>
      <c r="E162" s="129"/>
      <c r="F162" s="129"/>
      <c r="G162" s="129"/>
      <c r="H162" s="129"/>
      <c r="I162" s="129"/>
      <c r="J162" s="562"/>
      <c r="K162" s="97"/>
    </row>
    <row r="163" spans="1:11" ht="12">
      <c r="A163" s="17">
        <v>852</v>
      </c>
      <c r="B163" s="43"/>
      <c r="C163" s="21" t="s">
        <v>164</v>
      </c>
      <c r="D163" s="130">
        <f>SUM(D164:D171)</f>
        <v>7001379</v>
      </c>
      <c r="E163" s="130">
        <f aca="true" t="shared" si="30" ref="E163:J163">SUM(E165:E171)</f>
        <v>7001379</v>
      </c>
      <c r="F163" s="130">
        <f t="shared" si="30"/>
        <v>50000</v>
      </c>
      <c r="G163" s="130">
        <f t="shared" si="30"/>
        <v>2942200</v>
      </c>
      <c r="H163" s="130">
        <f t="shared" si="30"/>
        <v>0</v>
      </c>
      <c r="I163" s="130">
        <f t="shared" si="30"/>
        <v>0</v>
      </c>
      <c r="J163" s="563">
        <f t="shared" si="30"/>
        <v>0</v>
      </c>
      <c r="K163" s="97"/>
    </row>
    <row r="164" spans="1:11" ht="12">
      <c r="A164" s="17"/>
      <c r="B164" s="20"/>
      <c r="C164" s="16"/>
      <c r="D164" s="129"/>
      <c r="E164" s="129"/>
      <c r="F164" s="129"/>
      <c r="G164" s="129"/>
      <c r="H164" s="129"/>
      <c r="I164" s="129"/>
      <c r="J164" s="562"/>
      <c r="K164" s="97"/>
    </row>
    <row r="165" spans="1:11" ht="12">
      <c r="A165" s="17"/>
      <c r="B165" s="20">
        <v>85214</v>
      </c>
      <c r="C165" s="16" t="s">
        <v>580</v>
      </c>
      <c r="D165" s="129"/>
      <c r="E165" s="129"/>
      <c r="F165" s="129"/>
      <c r="G165" s="129"/>
      <c r="H165" s="129"/>
      <c r="I165" s="129"/>
      <c r="J165" s="562"/>
      <c r="K165" s="97"/>
    </row>
    <row r="166" spans="1:11" ht="12">
      <c r="A166" s="17"/>
      <c r="B166" s="20"/>
      <c r="C166" s="16" t="s">
        <v>221</v>
      </c>
      <c r="D166" s="129">
        <f>SUM(E166+J166)</f>
        <v>1587000</v>
      </c>
      <c r="E166" s="129">
        <v>1587000</v>
      </c>
      <c r="F166" s="129"/>
      <c r="G166" s="883"/>
      <c r="H166" s="129"/>
      <c r="I166" s="129"/>
      <c r="J166" s="562"/>
      <c r="K166" s="97"/>
    </row>
    <row r="167" spans="1:11" ht="12">
      <c r="A167" s="17"/>
      <c r="B167" s="20">
        <v>85215</v>
      </c>
      <c r="C167" s="16" t="s">
        <v>415</v>
      </c>
      <c r="D167" s="129">
        <f>SUM(E167+J167)</f>
        <v>1040000</v>
      </c>
      <c r="E167" s="129">
        <v>1040000</v>
      </c>
      <c r="F167" s="129"/>
      <c r="G167" s="129"/>
      <c r="H167" s="129"/>
      <c r="I167" s="129"/>
      <c r="J167" s="562"/>
      <c r="K167" s="97"/>
    </row>
    <row r="168" spans="1:11" ht="12">
      <c r="A168" s="17"/>
      <c r="B168" s="20">
        <v>85219</v>
      </c>
      <c r="C168" s="16" t="s">
        <v>250</v>
      </c>
      <c r="D168" s="129">
        <f>SUM(E168+J168)</f>
        <v>2412100</v>
      </c>
      <c r="E168" s="129">
        <v>2412100</v>
      </c>
      <c r="F168" s="129"/>
      <c r="G168" s="129">
        <v>2013000</v>
      </c>
      <c r="H168" s="129"/>
      <c r="I168" s="129"/>
      <c r="J168" s="562"/>
      <c r="K168" s="97"/>
    </row>
    <row r="169" spans="1:11" ht="12">
      <c r="A169" s="17"/>
      <c r="B169" s="20">
        <v>85228</v>
      </c>
      <c r="C169" s="16" t="s">
        <v>581</v>
      </c>
      <c r="D169" s="129"/>
      <c r="E169" s="129"/>
      <c r="F169" s="129"/>
      <c r="G169" s="129"/>
      <c r="H169" s="129"/>
      <c r="I169" s="129"/>
      <c r="J169" s="562"/>
      <c r="K169" s="97"/>
    </row>
    <row r="170" spans="1:11" ht="12">
      <c r="A170" s="17"/>
      <c r="B170" s="20"/>
      <c r="C170" s="16" t="s">
        <v>582</v>
      </c>
      <c r="D170" s="129">
        <f>SUM(E170+J170)</f>
        <v>1041000</v>
      </c>
      <c r="E170" s="129">
        <v>1041000</v>
      </c>
      <c r="F170" s="129"/>
      <c r="G170" s="129">
        <v>928000</v>
      </c>
      <c r="H170" s="129"/>
      <c r="I170" s="129"/>
      <c r="J170" s="562"/>
      <c r="K170" s="97"/>
    </row>
    <row r="171" spans="1:11" ht="12.75" thickBot="1">
      <c r="A171" s="45"/>
      <c r="B171" s="47">
        <v>85295</v>
      </c>
      <c r="C171" s="46" t="s">
        <v>407</v>
      </c>
      <c r="D171" s="138">
        <f>SUM(E171+J171)</f>
        <v>921279</v>
      </c>
      <c r="E171" s="137">
        <v>921279</v>
      </c>
      <c r="F171" s="137">
        <v>50000</v>
      </c>
      <c r="G171" s="137">
        <v>1200</v>
      </c>
      <c r="H171" s="137"/>
      <c r="I171" s="137"/>
      <c r="J171" s="565"/>
      <c r="K171" s="97"/>
    </row>
    <row r="172" spans="1:11" ht="12.75" thickTop="1">
      <c r="A172" s="17"/>
      <c r="B172" s="20"/>
      <c r="C172" s="16"/>
      <c r="D172" s="129"/>
      <c r="E172" s="129"/>
      <c r="F172" s="129"/>
      <c r="G172" s="129"/>
      <c r="H172" s="129"/>
      <c r="I172" s="129"/>
      <c r="J172" s="562"/>
      <c r="K172" s="97"/>
    </row>
    <row r="173" spans="1:11" s="12" customFormat="1" ht="12">
      <c r="A173" s="17"/>
      <c r="B173" s="20"/>
      <c r="C173" s="16" t="s">
        <v>166</v>
      </c>
      <c r="D173" s="129"/>
      <c r="E173" s="129"/>
      <c r="F173" s="129"/>
      <c r="G173" s="129"/>
      <c r="H173" s="129"/>
      <c r="I173" s="129"/>
      <c r="J173" s="562"/>
      <c r="K173" s="97"/>
    </row>
    <row r="174" spans="1:11" s="12" customFormat="1" ht="12">
      <c r="A174" s="17">
        <v>853</v>
      </c>
      <c r="B174" s="43"/>
      <c r="C174" s="21" t="s">
        <v>165</v>
      </c>
      <c r="D174" s="130">
        <f>SUM(D176:D177)</f>
        <v>1621572</v>
      </c>
      <c r="E174" s="130">
        <f aca="true" t="shared" si="31" ref="E174:J174">SUM(E176:E177)</f>
        <v>1621572</v>
      </c>
      <c r="F174" s="130">
        <f t="shared" si="31"/>
        <v>988900</v>
      </c>
      <c r="G174" s="130">
        <f t="shared" si="31"/>
        <v>214388</v>
      </c>
      <c r="H174" s="130">
        <f t="shared" si="31"/>
        <v>0</v>
      </c>
      <c r="I174" s="130">
        <f t="shared" si="31"/>
        <v>0</v>
      </c>
      <c r="J174" s="563">
        <f t="shared" si="31"/>
        <v>0</v>
      </c>
      <c r="K174" s="97"/>
    </row>
    <row r="175" spans="1:11" ht="12">
      <c r="A175" s="17"/>
      <c r="B175" s="20"/>
      <c r="C175" s="16"/>
      <c r="D175" s="129"/>
      <c r="E175" s="129"/>
      <c r="F175" s="129"/>
      <c r="G175" s="129"/>
      <c r="H175" s="129"/>
      <c r="I175" s="129"/>
      <c r="J175" s="562"/>
      <c r="K175" s="97"/>
    </row>
    <row r="176" spans="1:11" ht="12">
      <c r="A176" s="17"/>
      <c r="B176" s="20">
        <v>85305</v>
      </c>
      <c r="C176" s="16" t="s">
        <v>251</v>
      </c>
      <c r="D176" s="49">
        <f>SUM(E176+J176)</f>
        <v>976900</v>
      </c>
      <c r="E176" s="129">
        <v>976900</v>
      </c>
      <c r="F176" s="129">
        <v>976900</v>
      </c>
      <c r="G176" s="129"/>
      <c r="H176" s="129"/>
      <c r="I176" s="129"/>
      <c r="J176" s="562"/>
      <c r="K176" s="97"/>
    </row>
    <row r="177" spans="1:11" ht="12.75" thickBot="1">
      <c r="A177" s="45"/>
      <c r="B177" s="47">
        <v>85395</v>
      </c>
      <c r="C177" s="46" t="s">
        <v>407</v>
      </c>
      <c r="D177" s="138">
        <f>SUM(E177+J177)</f>
        <v>644672</v>
      </c>
      <c r="E177" s="137">
        <v>644672</v>
      </c>
      <c r="F177" s="137">
        <v>12000</v>
      </c>
      <c r="G177" s="137">
        <v>214388</v>
      </c>
      <c r="H177" s="137"/>
      <c r="I177" s="137"/>
      <c r="J177" s="565"/>
      <c r="K177" s="97"/>
    </row>
    <row r="178" spans="1:11" ht="12.75" thickTop="1">
      <c r="A178" s="17"/>
      <c r="B178" s="20"/>
      <c r="C178" s="16"/>
      <c r="D178" s="129"/>
      <c r="E178" s="129"/>
      <c r="F178" s="129"/>
      <c r="G178" s="129"/>
      <c r="H178" s="129"/>
      <c r="I178" s="129"/>
      <c r="J178" s="562"/>
      <c r="K178" s="97"/>
    </row>
    <row r="179" spans="1:11" ht="12">
      <c r="A179" s="17">
        <v>854</v>
      </c>
      <c r="B179" s="43"/>
      <c r="C179" s="21" t="s">
        <v>389</v>
      </c>
      <c r="D179" s="130">
        <f aca="true" t="shared" si="32" ref="D179:J179">SUM(D181:D185)</f>
        <v>350000</v>
      </c>
      <c r="E179" s="130">
        <f t="shared" si="32"/>
        <v>350000</v>
      </c>
      <c r="F179" s="130">
        <f t="shared" si="32"/>
        <v>320000</v>
      </c>
      <c r="G179" s="130">
        <f t="shared" si="32"/>
        <v>0</v>
      </c>
      <c r="H179" s="130">
        <f t="shared" si="32"/>
        <v>0</v>
      </c>
      <c r="I179" s="130">
        <f t="shared" si="32"/>
        <v>0</v>
      </c>
      <c r="J179" s="563">
        <f t="shared" si="32"/>
        <v>0</v>
      </c>
      <c r="K179" s="97"/>
    </row>
    <row r="180" spans="1:11" ht="12">
      <c r="A180" s="17"/>
      <c r="B180" s="48"/>
      <c r="C180" s="41"/>
      <c r="D180" s="149"/>
      <c r="E180" s="142"/>
      <c r="F180" s="129"/>
      <c r="G180" s="129"/>
      <c r="H180" s="129"/>
      <c r="I180" s="129"/>
      <c r="J180" s="562"/>
      <c r="K180" s="97"/>
    </row>
    <row r="181" spans="1:11" ht="12">
      <c r="A181" s="17"/>
      <c r="B181" s="20">
        <v>85412</v>
      </c>
      <c r="C181" s="16" t="s">
        <v>252</v>
      </c>
      <c r="D181" s="49"/>
      <c r="E181" s="49"/>
      <c r="F181" s="142"/>
      <c r="G181" s="129"/>
      <c r="H181" s="129"/>
      <c r="I181" s="129"/>
      <c r="J181" s="562"/>
      <c r="K181" s="97"/>
    </row>
    <row r="182" spans="1:11" ht="12">
      <c r="A182" s="17"/>
      <c r="B182" s="20"/>
      <c r="C182" s="16" t="s">
        <v>253</v>
      </c>
      <c r="D182" s="49">
        <f>SUM(E182+J182)</f>
        <v>60000</v>
      </c>
      <c r="E182" s="49">
        <v>60000</v>
      </c>
      <c r="F182" s="142">
        <v>60000</v>
      </c>
      <c r="G182" s="129"/>
      <c r="H182" s="129"/>
      <c r="I182" s="129"/>
      <c r="J182" s="562"/>
      <c r="K182" s="97"/>
    </row>
    <row r="183" spans="1:11" ht="12">
      <c r="A183" s="17"/>
      <c r="B183" s="20">
        <v>85415</v>
      </c>
      <c r="C183" s="16" t="s">
        <v>623</v>
      </c>
      <c r="D183" s="49">
        <f>SUM(E183+J183)</f>
        <v>200000</v>
      </c>
      <c r="E183" s="49">
        <v>200000</v>
      </c>
      <c r="F183" s="142">
        <v>200000</v>
      </c>
      <c r="G183" s="129"/>
      <c r="H183" s="129"/>
      <c r="I183" s="129"/>
      <c r="J183" s="562"/>
      <c r="K183" s="97"/>
    </row>
    <row r="184" spans="1:11" ht="12">
      <c r="A184" s="17"/>
      <c r="B184" s="20">
        <v>85416</v>
      </c>
      <c r="C184" s="16" t="s">
        <v>655</v>
      </c>
      <c r="D184" s="49">
        <f>SUM(E184+J184)</f>
        <v>30000</v>
      </c>
      <c r="E184" s="49">
        <v>30000</v>
      </c>
      <c r="F184" s="142"/>
      <c r="G184" s="129"/>
      <c r="H184" s="129"/>
      <c r="I184" s="129"/>
      <c r="J184" s="562"/>
      <c r="K184" s="97"/>
    </row>
    <row r="185" spans="1:11" ht="12.75" thickBot="1">
      <c r="A185" s="45"/>
      <c r="B185" s="47">
        <v>85495</v>
      </c>
      <c r="C185" s="46" t="s">
        <v>407</v>
      </c>
      <c r="D185" s="138">
        <f>SUM(E185+J185)</f>
        <v>60000</v>
      </c>
      <c r="E185" s="138">
        <v>60000</v>
      </c>
      <c r="F185" s="138">
        <v>60000</v>
      </c>
      <c r="G185" s="137"/>
      <c r="H185" s="137"/>
      <c r="I185" s="137"/>
      <c r="J185" s="565"/>
      <c r="K185" s="97"/>
    </row>
    <row r="186" spans="1:11" ht="12.75" thickTop="1">
      <c r="A186" s="17"/>
      <c r="B186" s="20"/>
      <c r="C186" s="16"/>
      <c r="D186" s="129"/>
      <c r="E186" s="129"/>
      <c r="F186" s="129"/>
      <c r="G186" s="129"/>
      <c r="H186" s="129"/>
      <c r="I186" s="129"/>
      <c r="J186" s="562"/>
      <c r="K186" s="97"/>
    </row>
    <row r="187" spans="1:11" ht="12">
      <c r="A187" s="17">
        <v>900</v>
      </c>
      <c r="B187" s="20"/>
      <c r="C187" s="16" t="s">
        <v>552</v>
      </c>
      <c r="D187" s="129"/>
      <c r="E187" s="129"/>
      <c r="F187" s="129"/>
      <c r="G187" s="129"/>
      <c r="H187" s="129"/>
      <c r="I187" s="129"/>
      <c r="J187" s="562"/>
      <c r="K187" s="97"/>
    </row>
    <row r="188" spans="1:11" ht="12">
      <c r="A188" s="17"/>
      <c r="B188" s="43"/>
      <c r="C188" s="21" t="s">
        <v>416</v>
      </c>
      <c r="D188" s="130">
        <f>SUM(D190:D197)</f>
        <v>14468187</v>
      </c>
      <c r="E188" s="130">
        <f aca="true" t="shared" si="33" ref="E188:J188">SUM(E190:E197)</f>
        <v>4966907</v>
      </c>
      <c r="F188" s="130">
        <f t="shared" si="33"/>
        <v>155535</v>
      </c>
      <c r="G188" s="130">
        <f t="shared" si="33"/>
        <v>200300</v>
      </c>
      <c r="H188" s="130">
        <f t="shared" si="33"/>
        <v>0</v>
      </c>
      <c r="I188" s="130">
        <f t="shared" si="33"/>
        <v>0</v>
      </c>
      <c r="J188" s="563">
        <f t="shared" si="33"/>
        <v>9501280</v>
      </c>
      <c r="K188" s="97">
        <f>SUM(J188-311000)</f>
        <v>9190280</v>
      </c>
    </row>
    <row r="189" spans="1:11" ht="12">
      <c r="A189" s="17"/>
      <c r="B189" s="20"/>
      <c r="C189" s="16"/>
      <c r="D189" s="129"/>
      <c r="E189" s="129"/>
      <c r="F189" s="129"/>
      <c r="G189" s="129"/>
      <c r="H189" s="129"/>
      <c r="I189" s="129"/>
      <c r="J189" s="562"/>
      <c r="K189" s="97"/>
    </row>
    <row r="190" spans="1:11" ht="12">
      <c r="A190" s="17"/>
      <c r="B190" s="20">
        <v>90001</v>
      </c>
      <c r="C190" s="16" t="s">
        <v>585</v>
      </c>
      <c r="D190" s="129">
        <f>SUM(E190+J190)</f>
        <v>2956620</v>
      </c>
      <c r="E190" s="129">
        <v>156620</v>
      </c>
      <c r="F190" s="129"/>
      <c r="G190" s="129"/>
      <c r="H190" s="129"/>
      <c r="I190" s="129"/>
      <c r="J190" s="562">
        <f>3400000-600000</f>
        <v>2800000</v>
      </c>
      <c r="K190" s="97"/>
    </row>
    <row r="191" spans="1:11" ht="12">
      <c r="A191" s="17"/>
      <c r="B191" s="20">
        <v>90002</v>
      </c>
      <c r="C191" s="16" t="s">
        <v>417</v>
      </c>
      <c r="D191" s="129">
        <f>SUM(E191+J191)</f>
        <v>3000000</v>
      </c>
      <c r="E191" s="129"/>
      <c r="F191" s="129"/>
      <c r="G191" s="129"/>
      <c r="H191" s="129"/>
      <c r="I191" s="129"/>
      <c r="J191" s="562">
        <f>4000000-4000000+3000000</f>
        <v>3000000</v>
      </c>
      <c r="K191" s="97"/>
    </row>
    <row r="192" spans="1:11" ht="11.25" customHeight="1">
      <c r="A192" s="17"/>
      <c r="B192" s="20">
        <v>90003</v>
      </c>
      <c r="C192" s="16" t="s">
        <v>586</v>
      </c>
      <c r="D192" s="129">
        <f>SUM(E192+J192)</f>
        <v>1616925</v>
      </c>
      <c r="E192" s="129">
        <v>1616925</v>
      </c>
      <c r="F192" s="129"/>
      <c r="G192" s="129">
        <v>30000</v>
      </c>
      <c r="H192" s="129"/>
      <c r="I192" s="129"/>
      <c r="J192" s="562"/>
      <c r="K192" s="97"/>
    </row>
    <row r="193" spans="1:11" ht="12">
      <c r="A193" s="17"/>
      <c r="B193" s="20">
        <v>90004</v>
      </c>
      <c r="C193" s="16" t="s">
        <v>188</v>
      </c>
      <c r="D193" s="129">
        <f>SUM(E193+J193)</f>
        <v>809500</v>
      </c>
      <c r="E193" s="129">
        <v>809500</v>
      </c>
      <c r="F193" s="129"/>
      <c r="G193" s="129"/>
      <c r="H193" s="129"/>
      <c r="I193" s="129"/>
      <c r="J193" s="562"/>
      <c r="K193" s="97"/>
    </row>
    <row r="194" spans="1:11" s="29" customFormat="1" ht="12">
      <c r="A194" s="17"/>
      <c r="B194" s="20">
        <v>90015</v>
      </c>
      <c r="C194" s="16" t="s">
        <v>553</v>
      </c>
      <c r="D194" s="129">
        <f>SUM(E194+J194)</f>
        <v>2279227</v>
      </c>
      <c r="E194" s="129">
        <v>1668227</v>
      </c>
      <c r="F194" s="129"/>
      <c r="G194" s="129"/>
      <c r="H194" s="129"/>
      <c r="I194" s="129"/>
      <c r="J194" s="562">
        <v>611000</v>
      </c>
      <c r="K194" s="97">
        <f>SUM(J194-311000)</f>
        <v>300000</v>
      </c>
    </row>
    <row r="195" spans="1:11" ht="12">
      <c r="A195" s="17"/>
      <c r="B195" s="20">
        <v>90020</v>
      </c>
      <c r="C195" s="16" t="s">
        <v>255</v>
      </c>
      <c r="D195" s="129"/>
      <c r="E195" s="129"/>
      <c r="F195" s="129"/>
      <c r="G195" s="129"/>
      <c r="H195" s="129"/>
      <c r="I195" s="129"/>
      <c r="J195" s="562"/>
      <c r="K195" s="97"/>
    </row>
    <row r="196" spans="1:11" ht="12">
      <c r="A196" s="17"/>
      <c r="B196" s="20"/>
      <c r="C196" s="16" t="s">
        <v>256</v>
      </c>
      <c r="D196" s="129">
        <f>SUM(E196+J196)</f>
        <v>50000</v>
      </c>
      <c r="E196" s="129">
        <v>50000</v>
      </c>
      <c r="F196" s="129"/>
      <c r="G196" s="129"/>
      <c r="H196" s="129"/>
      <c r="I196" s="129"/>
      <c r="J196" s="562"/>
      <c r="K196" s="97"/>
    </row>
    <row r="197" spans="1:11" ht="12.75" thickBot="1">
      <c r="A197" s="18"/>
      <c r="B197" s="19">
        <v>90095</v>
      </c>
      <c r="C197" s="22" t="s">
        <v>407</v>
      </c>
      <c r="D197" s="140">
        <f>SUM(E197+J197)</f>
        <v>3755915</v>
      </c>
      <c r="E197" s="140">
        <f>765635-100000</f>
        <v>665635</v>
      </c>
      <c r="F197" s="140">
        <v>155535</v>
      </c>
      <c r="G197" s="140">
        <v>170300</v>
      </c>
      <c r="H197" s="140"/>
      <c r="I197" s="140"/>
      <c r="J197" s="591">
        <f>2290000+800280</f>
        <v>3090280</v>
      </c>
      <c r="K197" s="97"/>
    </row>
    <row r="198" spans="1:11" ht="12">
      <c r="A198" s="489">
        <v>1</v>
      </c>
      <c r="B198" s="496">
        <v>2</v>
      </c>
      <c r="C198" s="496">
        <v>3</v>
      </c>
      <c r="D198" s="497">
        <v>4</v>
      </c>
      <c r="E198" s="497">
        <v>5</v>
      </c>
      <c r="F198" s="497">
        <v>6</v>
      </c>
      <c r="G198" s="497">
        <v>7</v>
      </c>
      <c r="H198" s="497">
        <v>8</v>
      </c>
      <c r="I198" s="497">
        <v>9</v>
      </c>
      <c r="J198" s="593">
        <v>10</v>
      </c>
      <c r="K198" s="97"/>
    </row>
    <row r="199" spans="1:11" ht="12">
      <c r="A199" s="17"/>
      <c r="B199" s="20"/>
      <c r="C199" s="16"/>
      <c r="D199" s="129"/>
      <c r="E199" s="129"/>
      <c r="F199" s="129"/>
      <c r="G199" s="129"/>
      <c r="H199" s="129"/>
      <c r="I199" s="129"/>
      <c r="J199" s="562"/>
      <c r="K199" s="97"/>
    </row>
    <row r="200" spans="1:11" ht="12">
      <c r="A200" s="17">
        <v>921</v>
      </c>
      <c r="B200" s="20"/>
      <c r="C200" s="16" t="s">
        <v>391</v>
      </c>
      <c r="D200" s="129"/>
      <c r="E200" s="129"/>
      <c r="F200" s="129"/>
      <c r="G200" s="129"/>
      <c r="H200" s="129"/>
      <c r="I200" s="129"/>
      <c r="J200" s="562"/>
      <c r="K200" s="97"/>
    </row>
    <row r="201" spans="1:11" ht="12">
      <c r="A201" s="17"/>
      <c r="B201" s="43"/>
      <c r="C201" s="21" t="s">
        <v>392</v>
      </c>
      <c r="D201" s="130">
        <f>SUM(D203:D206)</f>
        <v>5493000</v>
      </c>
      <c r="E201" s="130">
        <f aca="true" t="shared" si="34" ref="E201:J201">SUM(E203:E206)</f>
        <v>4023000</v>
      </c>
      <c r="F201" s="130">
        <f t="shared" si="34"/>
        <v>3133300</v>
      </c>
      <c r="G201" s="130">
        <f t="shared" si="34"/>
        <v>119570</v>
      </c>
      <c r="H201" s="130">
        <f t="shared" si="34"/>
        <v>0</v>
      </c>
      <c r="I201" s="130">
        <f t="shared" si="34"/>
        <v>0</v>
      </c>
      <c r="J201" s="563">
        <f t="shared" si="34"/>
        <v>1470000</v>
      </c>
      <c r="K201" s="97"/>
    </row>
    <row r="202" spans="1:11" ht="12">
      <c r="A202" s="17"/>
      <c r="B202" s="20"/>
      <c r="C202" s="16"/>
      <c r="D202" s="129"/>
      <c r="E202" s="129"/>
      <c r="F202" s="129"/>
      <c r="G202" s="129"/>
      <c r="H202" s="129"/>
      <c r="I202" s="129"/>
      <c r="J202" s="562"/>
      <c r="K202" s="97"/>
    </row>
    <row r="203" spans="1:11" s="29" customFormat="1" ht="12">
      <c r="A203" s="17"/>
      <c r="B203" s="20">
        <v>92109</v>
      </c>
      <c r="C203" s="16" t="s">
        <v>587</v>
      </c>
      <c r="D203" s="129">
        <f>SUM(E203+J203)</f>
        <v>3601700</v>
      </c>
      <c r="E203" s="129">
        <f>2741700+15000</f>
        <v>2756700</v>
      </c>
      <c r="F203" s="129">
        <v>1970000</v>
      </c>
      <c r="G203" s="883">
        <v>72570</v>
      </c>
      <c r="H203" s="129"/>
      <c r="I203" s="129"/>
      <c r="J203" s="562">
        <f>1070000-225000</f>
        <v>845000</v>
      </c>
      <c r="K203" s="97"/>
    </row>
    <row r="204" spans="1:11" ht="12">
      <c r="A204" s="17"/>
      <c r="B204" s="20">
        <v>92116</v>
      </c>
      <c r="C204" s="16" t="s">
        <v>657</v>
      </c>
      <c r="D204" s="129">
        <f>SUM(E204+J204)</f>
        <v>1106300</v>
      </c>
      <c r="E204" s="129">
        <v>1081300</v>
      </c>
      <c r="F204" s="129">
        <v>1081300</v>
      </c>
      <c r="G204" s="129"/>
      <c r="H204" s="129"/>
      <c r="I204" s="129"/>
      <c r="J204" s="562">
        <v>25000</v>
      </c>
      <c r="K204" s="97"/>
    </row>
    <row r="205" spans="1:11" ht="12">
      <c r="A205" s="17"/>
      <c r="B205" s="20">
        <v>92120</v>
      </c>
      <c r="C205" s="16" t="s">
        <v>222</v>
      </c>
      <c r="D205" s="129">
        <f>SUM(E205+J205)</f>
        <v>714000</v>
      </c>
      <c r="E205" s="129">
        <v>114000</v>
      </c>
      <c r="F205" s="129">
        <v>42000</v>
      </c>
      <c r="G205" s="129">
        <v>47000</v>
      </c>
      <c r="H205" s="129"/>
      <c r="I205" s="129"/>
      <c r="J205" s="562">
        <v>600000</v>
      </c>
      <c r="K205" s="97"/>
    </row>
    <row r="206" spans="1:11" ht="12.75" thickBot="1">
      <c r="A206" s="45"/>
      <c r="B206" s="47">
        <v>92195</v>
      </c>
      <c r="C206" s="46" t="s">
        <v>407</v>
      </c>
      <c r="D206" s="138">
        <f>SUM(E206+J206)</f>
        <v>71000</v>
      </c>
      <c r="E206" s="137">
        <v>71000</v>
      </c>
      <c r="F206" s="137">
        <v>40000</v>
      </c>
      <c r="G206" s="137"/>
      <c r="H206" s="137"/>
      <c r="I206" s="137"/>
      <c r="J206" s="565"/>
      <c r="K206" s="97"/>
    </row>
    <row r="207" spans="1:11" ht="12.75" thickTop="1">
      <c r="A207" s="151"/>
      <c r="B207" s="221"/>
      <c r="C207" s="221"/>
      <c r="D207" s="222"/>
      <c r="E207" s="222"/>
      <c r="F207" s="222"/>
      <c r="G207" s="222"/>
      <c r="H207" s="222"/>
      <c r="I207" s="222"/>
      <c r="J207" s="600"/>
      <c r="K207" s="97"/>
    </row>
    <row r="208" spans="1:11" ht="12">
      <c r="A208" s="17">
        <v>926</v>
      </c>
      <c r="B208" s="43"/>
      <c r="C208" s="21" t="s">
        <v>565</v>
      </c>
      <c r="D208" s="130">
        <f aca="true" t="shared" si="35" ref="D208:J208">SUM(D210:D212)</f>
        <v>2969800</v>
      </c>
      <c r="E208" s="130">
        <f t="shared" si="35"/>
        <v>2969800</v>
      </c>
      <c r="F208" s="130">
        <f t="shared" si="35"/>
        <v>750000</v>
      </c>
      <c r="G208" s="130">
        <f t="shared" si="35"/>
        <v>1164300</v>
      </c>
      <c r="H208" s="130">
        <f t="shared" si="35"/>
        <v>0</v>
      </c>
      <c r="I208" s="130">
        <f t="shared" si="35"/>
        <v>0</v>
      </c>
      <c r="J208" s="563">
        <f t="shared" si="35"/>
        <v>0</v>
      </c>
      <c r="K208" s="97"/>
    </row>
    <row r="209" spans="1:11" ht="12">
      <c r="A209" s="17"/>
      <c r="B209" s="20"/>
      <c r="C209" s="16"/>
      <c r="D209" s="129"/>
      <c r="E209" s="129"/>
      <c r="F209" s="129"/>
      <c r="G209" s="129"/>
      <c r="H209" s="129"/>
      <c r="I209" s="129"/>
      <c r="J209" s="562"/>
      <c r="K209" s="97"/>
    </row>
    <row r="210" spans="1:11" s="36" customFormat="1" ht="12" customHeight="1">
      <c r="A210" s="17"/>
      <c r="B210" s="20">
        <v>92604</v>
      </c>
      <c r="C210" s="16" t="s">
        <v>664</v>
      </c>
      <c r="D210" s="129">
        <f>SUM(E210+J210)</f>
        <v>2110000</v>
      </c>
      <c r="E210" s="129">
        <v>2110000</v>
      </c>
      <c r="F210" s="129"/>
      <c r="G210" s="884">
        <v>1164300</v>
      </c>
      <c r="H210" s="129"/>
      <c r="I210" s="129"/>
      <c r="J210" s="562"/>
      <c r="K210" s="97"/>
    </row>
    <row r="211" spans="1:11" ht="12">
      <c r="A211" s="17"/>
      <c r="B211" s="20">
        <v>92605</v>
      </c>
      <c r="C211" s="16" t="s">
        <v>589</v>
      </c>
      <c r="D211" s="129">
        <f>SUM(E211+J211)</f>
        <v>822800</v>
      </c>
      <c r="E211" s="129">
        <v>822800</v>
      </c>
      <c r="F211" s="129">
        <v>750000</v>
      </c>
      <c r="G211" s="129"/>
      <c r="H211" s="129"/>
      <c r="I211" s="129"/>
      <c r="J211" s="562"/>
      <c r="K211" s="97"/>
    </row>
    <row r="212" spans="1:11" ht="12" customHeight="1" thickBot="1">
      <c r="A212" s="17"/>
      <c r="B212" s="20">
        <v>92695</v>
      </c>
      <c r="C212" s="16" t="s">
        <v>407</v>
      </c>
      <c r="D212" s="129">
        <f>SUM(E212+J212)</f>
        <v>37000</v>
      </c>
      <c r="E212" s="129">
        <v>37000</v>
      </c>
      <c r="F212" s="129"/>
      <c r="G212" s="129"/>
      <c r="H212" s="129"/>
      <c r="I212" s="129"/>
      <c r="J212" s="562"/>
      <c r="K212" s="97"/>
    </row>
    <row r="213" spans="1:11" ht="12">
      <c r="A213" s="314" t="s">
        <v>333</v>
      </c>
      <c r="B213" s="315"/>
      <c r="C213" s="315"/>
      <c r="D213" s="316"/>
      <c r="E213" s="316"/>
      <c r="F213" s="316"/>
      <c r="G213" s="316"/>
      <c r="H213" s="316"/>
      <c r="I213" s="316"/>
      <c r="J213" s="592"/>
      <c r="K213" s="97"/>
    </row>
    <row r="214" spans="1:11" s="96" customFormat="1" ht="12.75">
      <c r="A214" s="94"/>
      <c r="B214" s="317"/>
      <c r="C214" s="317" t="s">
        <v>566</v>
      </c>
      <c r="D214" s="318">
        <f aca="true" t="shared" si="36" ref="D214:J214">SUM(D74,D81,D87,D93,D97,D103,D110,D119,D129,D134,D139,D143,D156,D163,D174,D179,D188,D201,D208)</f>
        <v>112939734</v>
      </c>
      <c r="E214" s="318">
        <f t="shared" si="36"/>
        <v>85161875</v>
      </c>
      <c r="F214" s="318">
        <f t="shared" si="36"/>
        <v>43611835</v>
      </c>
      <c r="G214" s="318">
        <f t="shared" si="36"/>
        <v>14514313</v>
      </c>
      <c r="H214" s="318">
        <f t="shared" si="36"/>
        <v>1482750</v>
      </c>
      <c r="I214" s="318">
        <f t="shared" si="36"/>
        <v>0</v>
      </c>
      <c r="J214" s="587">
        <f t="shared" si="36"/>
        <v>27777859</v>
      </c>
      <c r="K214" s="97"/>
    </row>
    <row r="215" spans="1:11" s="96" customFormat="1" ht="13.5" thickBot="1">
      <c r="A215" s="319"/>
      <c r="B215" s="320"/>
      <c r="C215" s="321"/>
      <c r="D215" s="155"/>
      <c r="E215" s="155"/>
      <c r="F215" s="155"/>
      <c r="G215" s="155"/>
      <c r="H215" s="155"/>
      <c r="I215" s="155"/>
      <c r="J215" s="598"/>
      <c r="K215" s="97"/>
    </row>
    <row r="216" spans="1:11" s="96" customFormat="1" ht="29.25" customHeight="1">
      <c r="A216" s="1284" t="s">
        <v>208</v>
      </c>
      <c r="B216" s="1284"/>
      <c r="C216" s="1284"/>
      <c r="D216" s="1284"/>
      <c r="E216" s="1284"/>
      <c r="F216" s="1284"/>
      <c r="G216" s="1284"/>
      <c r="H216" s="1284"/>
      <c r="I216" s="1284"/>
      <c r="J216" s="1284"/>
      <c r="K216" s="97"/>
    </row>
    <row r="217" spans="1:11" ht="15" customHeight="1">
      <c r="A217" s="1285" t="s">
        <v>353</v>
      </c>
      <c r="B217" s="1285"/>
      <c r="C217" s="1285"/>
      <c r="D217" s="1285"/>
      <c r="E217" s="1285"/>
      <c r="F217" s="1285"/>
      <c r="G217" s="1285"/>
      <c r="H217" s="1285"/>
      <c r="I217" s="1285"/>
      <c r="J217" s="1285"/>
      <c r="K217" s="452"/>
    </row>
    <row r="218" spans="1:11" ht="15" customHeight="1">
      <c r="A218" s="11"/>
      <c r="B218" s="11"/>
      <c r="C218" s="11"/>
      <c r="D218" s="845"/>
      <c r="E218" s="845"/>
      <c r="F218" s="845"/>
      <c r="G218" s="845"/>
      <c r="H218" s="845"/>
      <c r="I218" s="11"/>
      <c r="J218" s="845"/>
      <c r="K218" s="452"/>
    </row>
    <row r="219" spans="1:11" s="571" customFormat="1" ht="12.75" customHeight="1" thickBot="1">
      <c r="A219" s="132"/>
      <c r="B219" s="132"/>
      <c r="C219" s="132"/>
      <c r="D219" s="132"/>
      <c r="E219" s="132"/>
      <c r="F219" s="846"/>
      <c r="G219" s="132"/>
      <c r="H219" s="132"/>
      <c r="I219" s="132"/>
      <c r="J219" s="59" t="s">
        <v>593</v>
      </c>
      <c r="K219" s="570"/>
    </row>
    <row r="220" spans="1:11" s="29" customFormat="1" ht="12" customHeight="1">
      <c r="A220" s="1277" t="s">
        <v>375</v>
      </c>
      <c r="B220" s="1280" t="s">
        <v>394</v>
      </c>
      <c r="C220" s="1276" t="s">
        <v>395</v>
      </c>
      <c r="D220" s="1280" t="s">
        <v>335</v>
      </c>
      <c r="E220" s="1273" t="s">
        <v>555</v>
      </c>
      <c r="F220" s="1266"/>
      <c r="G220" s="1266"/>
      <c r="H220" s="1266"/>
      <c r="I220" s="1266"/>
      <c r="J220" s="1267"/>
      <c r="K220" s="97"/>
    </row>
    <row r="221" spans="1:11" ht="12" customHeight="1">
      <c r="A221" s="1278"/>
      <c r="B221" s="1274"/>
      <c r="C221" s="1271"/>
      <c r="D221" s="1274"/>
      <c r="E221" s="1268" t="s">
        <v>230</v>
      </c>
      <c r="F221" s="1269" t="s">
        <v>556</v>
      </c>
      <c r="G221" s="1269"/>
      <c r="H221" s="1269"/>
      <c r="I221" s="1269"/>
      <c r="J221" s="1270" t="s">
        <v>229</v>
      </c>
      <c r="K221" s="97"/>
    </row>
    <row r="222" spans="1:11" ht="36">
      <c r="A222" s="1279"/>
      <c r="B222" s="1275"/>
      <c r="C222" s="1272"/>
      <c r="D222" s="1275"/>
      <c r="E222" s="1275"/>
      <c r="F222" s="461" t="s">
        <v>557</v>
      </c>
      <c r="G222" s="461" t="s">
        <v>371</v>
      </c>
      <c r="H222" s="461" t="s">
        <v>227</v>
      </c>
      <c r="I222" s="461" t="s">
        <v>228</v>
      </c>
      <c r="J222" s="1315"/>
      <c r="K222" s="97"/>
    </row>
    <row r="223" spans="1:11" ht="12.75" thickBot="1">
      <c r="A223" s="490">
        <v>1</v>
      </c>
      <c r="B223" s="491">
        <v>2</v>
      </c>
      <c r="C223" s="494">
        <v>3</v>
      </c>
      <c r="D223" s="491">
        <v>4</v>
      </c>
      <c r="E223" s="491">
        <v>5</v>
      </c>
      <c r="F223" s="491">
        <v>6</v>
      </c>
      <c r="G223" s="491">
        <v>7</v>
      </c>
      <c r="H223" s="491">
        <v>8</v>
      </c>
      <c r="I223" s="491">
        <v>9</v>
      </c>
      <c r="J223" s="495">
        <v>10</v>
      </c>
      <c r="K223" s="97"/>
    </row>
    <row r="224" spans="1:11" ht="12">
      <c r="A224" s="14"/>
      <c r="B224" s="16"/>
      <c r="C224" s="16"/>
      <c r="D224" s="16"/>
      <c r="E224" s="16"/>
      <c r="F224" s="16"/>
      <c r="G224" s="16"/>
      <c r="H224" s="16"/>
      <c r="I224" s="16"/>
      <c r="J224" s="562"/>
      <c r="K224" s="97"/>
    </row>
    <row r="225" spans="1:11" ht="12">
      <c r="A225" s="17">
        <v>750</v>
      </c>
      <c r="B225" s="43"/>
      <c r="C225" s="21" t="s">
        <v>382</v>
      </c>
      <c r="D225" s="129">
        <f aca="true" t="shared" si="37" ref="D225:J225">SUM(D227:D227)</f>
        <v>305000</v>
      </c>
      <c r="E225" s="130">
        <f t="shared" si="37"/>
        <v>305000</v>
      </c>
      <c r="F225" s="130">
        <f t="shared" si="37"/>
        <v>0</v>
      </c>
      <c r="G225" s="130">
        <f t="shared" si="37"/>
        <v>305000</v>
      </c>
      <c r="H225" s="130">
        <f t="shared" si="37"/>
        <v>0</v>
      </c>
      <c r="I225" s="130">
        <f t="shared" si="37"/>
        <v>0</v>
      </c>
      <c r="J225" s="563">
        <f t="shared" si="37"/>
        <v>0</v>
      </c>
      <c r="K225" s="97"/>
    </row>
    <row r="226" spans="1:11" ht="12">
      <c r="A226" s="17"/>
      <c r="B226" s="20"/>
      <c r="C226" s="16"/>
      <c r="D226" s="149"/>
      <c r="E226" s="129"/>
      <c r="F226" s="129"/>
      <c r="G226" s="129"/>
      <c r="H226" s="129"/>
      <c r="I226" s="129"/>
      <c r="J226" s="562"/>
      <c r="K226" s="97"/>
    </row>
    <row r="227" spans="1:11" ht="12.75" thickBot="1">
      <c r="A227" s="564"/>
      <c r="B227" s="47">
        <v>75011</v>
      </c>
      <c r="C227" s="46" t="s">
        <v>590</v>
      </c>
      <c r="D227" s="138">
        <f>SUM(E227+J227)</f>
        <v>305000</v>
      </c>
      <c r="E227" s="137">
        <v>305000</v>
      </c>
      <c r="F227" s="137"/>
      <c r="G227" s="137">
        <v>305000</v>
      </c>
      <c r="H227" s="137"/>
      <c r="I227" s="137"/>
      <c r="J227" s="565"/>
      <c r="K227" s="97"/>
    </row>
    <row r="228" spans="1:11" ht="12.75" thickTop="1">
      <c r="A228" s="17"/>
      <c r="B228" s="20"/>
      <c r="C228" s="16"/>
      <c r="D228" s="129"/>
      <c r="E228" s="129"/>
      <c r="F228" s="129"/>
      <c r="G228" s="129"/>
      <c r="H228" s="129"/>
      <c r="I228" s="129"/>
      <c r="J228" s="562"/>
      <c r="K228" s="97"/>
    </row>
    <row r="229" spans="1:11" ht="12" customHeight="1">
      <c r="A229" s="17">
        <v>751</v>
      </c>
      <c r="B229" s="20"/>
      <c r="C229" s="16" t="s">
        <v>383</v>
      </c>
      <c r="D229" s="129"/>
      <c r="E229" s="129"/>
      <c r="F229" s="129"/>
      <c r="G229" s="129"/>
      <c r="H229" s="129"/>
      <c r="I229" s="129"/>
      <c r="J229" s="562"/>
      <c r="K229" s="97"/>
    </row>
    <row r="230" spans="1:11" ht="12">
      <c r="A230" s="17"/>
      <c r="B230" s="20"/>
      <c r="C230" s="16" t="s">
        <v>591</v>
      </c>
      <c r="D230" s="129"/>
      <c r="E230" s="129"/>
      <c r="F230" s="129"/>
      <c r="G230" s="129"/>
      <c r="H230" s="129"/>
      <c r="I230" s="129"/>
      <c r="J230" s="562"/>
      <c r="K230" s="97"/>
    </row>
    <row r="231" spans="1:11" s="96" customFormat="1" ht="12">
      <c r="A231" s="17"/>
      <c r="B231" s="43"/>
      <c r="C231" s="21" t="s">
        <v>563</v>
      </c>
      <c r="D231" s="130">
        <f aca="true" t="shared" si="38" ref="D231:J231">SUM(D234:D234)</f>
        <v>6720</v>
      </c>
      <c r="E231" s="130">
        <f t="shared" si="38"/>
        <v>6720</v>
      </c>
      <c r="F231" s="130">
        <f t="shared" si="38"/>
        <v>0</v>
      </c>
      <c r="G231" s="130">
        <f t="shared" si="38"/>
        <v>4239</v>
      </c>
      <c r="H231" s="130">
        <f t="shared" si="38"/>
        <v>0</v>
      </c>
      <c r="I231" s="130">
        <f t="shared" si="38"/>
        <v>0</v>
      </c>
      <c r="J231" s="563">
        <f t="shared" si="38"/>
        <v>0</v>
      </c>
      <c r="K231" s="97"/>
    </row>
    <row r="232" spans="1:11" ht="16.5" customHeight="1">
      <c r="A232" s="17"/>
      <c r="B232" s="20"/>
      <c r="C232" s="16"/>
      <c r="D232" s="149"/>
      <c r="E232" s="129"/>
      <c r="F232" s="129"/>
      <c r="G232" s="129"/>
      <c r="H232" s="129"/>
      <c r="I232" s="129"/>
      <c r="J232" s="562"/>
      <c r="K232" s="132"/>
    </row>
    <row r="233" spans="1:11" ht="12.75" customHeight="1">
      <c r="A233" s="17"/>
      <c r="B233" s="20">
        <v>75101</v>
      </c>
      <c r="C233" s="16" t="s">
        <v>422</v>
      </c>
      <c r="D233" s="49"/>
      <c r="E233" s="129"/>
      <c r="F233" s="129"/>
      <c r="G233" s="129"/>
      <c r="H233" s="129"/>
      <c r="I233" s="129"/>
      <c r="J233" s="562"/>
      <c r="K233" s="132"/>
    </row>
    <row r="234" spans="1:11" s="330" customFormat="1" ht="12.75" customHeight="1" thickBot="1">
      <c r="A234" s="564"/>
      <c r="B234" s="47"/>
      <c r="C234" s="46" t="s">
        <v>423</v>
      </c>
      <c r="D234" s="138">
        <f>SUM(E234+J234)</f>
        <v>6720</v>
      </c>
      <c r="E234" s="137">
        <v>6720</v>
      </c>
      <c r="F234" s="137"/>
      <c r="G234" s="137">
        <v>4239</v>
      </c>
      <c r="H234" s="137"/>
      <c r="I234" s="137"/>
      <c r="J234" s="565"/>
      <c r="K234" s="59"/>
    </row>
    <row r="235" spans="1:11" s="571" customFormat="1" ht="12.75" customHeight="1" thickTop="1">
      <c r="A235" s="566"/>
      <c r="B235" s="567"/>
      <c r="C235" s="568"/>
      <c r="D235" s="569"/>
      <c r="E235" s="569"/>
      <c r="F235" s="129"/>
      <c r="G235" s="129"/>
      <c r="H235" s="129"/>
      <c r="I235" s="569"/>
      <c r="J235" s="596"/>
      <c r="K235" s="570"/>
    </row>
    <row r="236" spans="1:11" s="571" customFormat="1" ht="12.75" customHeight="1">
      <c r="A236" s="566">
        <v>851</v>
      </c>
      <c r="B236" s="572"/>
      <c r="C236" s="573" t="s">
        <v>388</v>
      </c>
      <c r="D236" s="574">
        <f aca="true" t="shared" si="39" ref="D236:J236">SUM(D238)</f>
        <v>2000</v>
      </c>
      <c r="E236" s="574">
        <f t="shared" si="39"/>
        <v>2000</v>
      </c>
      <c r="F236" s="130">
        <f t="shared" si="39"/>
        <v>0</v>
      </c>
      <c r="G236" s="130">
        <f t="shared" si="39"/>
        <v>1850</v>
      </c>
      <c r="H236" s="130">
        <f t="shared" si="39"/>
        <v>0</v>
      </c>
      <c r="I236" s="574">
        <f t="shared" si="39"/>
        <v>0</v>
      </c>
      <c r="J236" s="563">
        <f t="shared" si="39"/>
        <v>0</v>
      </c>
      <c r="K236" s="570"/>
    </row>
    <row r="237" spans="1:11" s="571" customFormat="1" ht="12.75" customHeight="1">
      <c r="A237" s="566"/>
      <c r="B237" s="567"/>
      <c r="C237" s="568"/>
      <c r="D237" s="569"/>
      <c r="E237" s="569"/>
      <c r="F237" s="129"/>
      <c r="G237" s="129"/>
      <c r="H237" s="129"/>
      <c r="I237" s="569"/>
      <c r="J237" s="596"/>
      <c r="K237" s="570"/>
    </row>
    <row r="238" spans="1:11" s="571" customFormat="1" ht="12.75" customHeight="1" thickBot="1">
      <c r="A238" s="575"/>
      <c r="B238" s="576">
        <v>85195</v>
      </c>
      <c r="C238" s="577" t="s">
        <v>407</v>
      </c>
      <c r="D238" s="578">
        <f>SUM(E238+J238)</f>
        <v>2000</v>
      </c>
      <c r="E238" s="579">
        <v>2000</v>
      </c>
      <c r="F238" s="137"/>
      <c r="G238" s="137">
        <v>1850</v>
      </c>
      <c r="H238" s="137"/>
      <c r="I238" s="579"/>
      <c r="J238" s="601"/>
      <c r="K238" s="570"/>
    </row>
    <row r="239" spans="1:11" s="571" customFormat="1" ht="12.75" customHeight="1" thickTop="1">
      <c r="A239" s="566"/>
      <c r="B239" s="567"/>
      <c r="C239" s="568"/>
      <c r="D239" s="569"/>
      <c r="E239" s="569"/>
      <c r="F239" s="129"/>
      <c r="G239" s="129"/>
      <c r="H239" s="129"/>
      <c r="I239" s="569"/>
      <c r="J239" s="596"/>
      <c r="K239" s="570"/>
    </row>
    <row r="240" spans="1:11" s="330" customFormat="1" ht="12" customHeight="1">
      <c r="A240" s="566">
        <v>852</v>
      </c>
      <c r="B240" s="572"/>
      <c r="C240" s="573" t="s">
        <v>164</v>
      </c>
      <c r="D240" s="580">
        <f aca="true" t="shared" si="40" ref="D240:J240">SUM(D242:D253)</f>
        <v>10401000</v>
      </c>
      <c r="E240" s="580">
        <f t="shared" si="40"/>
        <v>10401000</v>
      </c>
      <c r="F240" s="139">
        <f t="shared" si="40"/>
        <v>175000</v>
      </c>
      <c r="G240" s="139">
        <f t="shared" si="40"/>
        <v>372500</v>
      </c>
      <c r="H240" s="139">
        <f t="shared" si="40"/>
        <v>0</v>
      </c>
      <c r="I240" s="580">
        <f t="shared" si="40"/>
        <v>0</v>
      </c>
      <c r="J240" s="563">
        <f t="shared" si="40"/>
        <v>0</v>
      </c>
      <c r="K240" s="570"/>
    </row>
    <row r="241" spans="1:11" s="330" customFormat="1" ht="12">
      <c r="A241" s="566"/>
      <c r="B241" s="567"/>
      <c r="C241" s="568"/>
      <c r="D241" s="569"/>
      <c r="E241" s="569"/>
      <c r="F241" s="129"/>
      <c r="G241" s="129"/>
      <c r="H241" s="129"/>
      <c r="I241" s="569"/>
      <c r="J241" s="596"/>
      <c r="K241" s="570"/>
    </row>
    <row r="242" spans="1:11" s="330" customFormat="1" ht="12">
      <c r="A242" s="566"/>
      <c r="B242" s="567">
        <v>85203</v>
      </c>
      <c r="C242" s="568" t="s">
        <v>177</v>
      </c>
      <c r="D242" s="569">
        <f>SUM(E242+J242)</f>
        <v>175000</v>
      </c>
      <c r="E242" s="569">
        <v>175000</v>
      </c>
      <c r="F242" s="129">
        <v>175000</v>
      </c>
      <c r="G242" s="129"/>
      <c r="H242" s="129"/>
      <c r="I242" s="569"/>
      <c r="J242" s="596"/>
      <c r="K242" s="570"/>
    </row>
    <row r="243" spans="1:11" s="330" customFormat="1" ht="12">
      <c r="A243" s="566"/>
      <c r="B243" s="567">
        <v>85212</v>
      </c>
      <c r="C243" s="568" t="s">
        <v>117</v>
      </c>
      <c r="D243" s="569"/>
      <c r="E243" s="569"/>
      <c r="F243" s="129"/>
      <c r="G243" s="129"/>
      <c r="H243" s="129"/>
      <c r="I243" s="569"/>
      <c r="J243" s="596"/>
      <c r="K243" s="570"/>
    </row>
    <row r="244" spans="1:11" s="330" customFormat="1" ht="12">
      <c r="A244" s="566"/>
      <c r="B244" s="567"/>
      <c r="C244" s="568" t="s">
        <v>454</v>
      </c>
      <c r="D244" s="569"/>
      <c r="E244" s="569"/>
      <c r="F244" s="129"/>
      <c r="G244" s="129"/>
      <c r="H244" s="129"/>
      <c r="I244" s="569"/>
      <c r="J244" s="596"/>
      <c r="K244" s="570"/>
    </row>
    <row r="245" spans="1:11" s="330" customFormat="1" ht="12">
      <c r="A245" s="566"/>
      <c r="B245" s="567"/>
      <c r="C245" s="568" t="s">
        <v>243</v>
      </c>
      <c r="D245" s="569">
        <f>SUM(E245+J245)</f>
        <v>9050000</v>
      </c>
      <c r="E245" s="569">
        <v>9050000</v>
      </c>
      <c r="F245" s="129"/>
      <c r="G245" s="129">
        <v>247000</v>
      </c>
      <c r="H245" s="129"/>
      <c r="I245" s="569"/>
      <c r="J245" s="596"/>
      <c r="K245" s="570"/>
    </row>
    <row r="246" spans="1:11" s="330" customFormat="1" ht="12">
      <c r="A246" s="566"/>
      <c r="B246" s="567">
        <v>85213</v>
      </c>
      <c r="C246" s="568" t="s">
        <v>254</v>
      </c>
      <c r="D246" s="569"/>
      <c r="E246" s="569"/>
      <c r="F246" s="129"/>
      <c r="G246" s="129"/>
      <c r="H246" s="129"/>
      <c r="I246" s="569"/>
      <c r="J246" s="596"/>
      <c r="K246" s="570"/>
    </row>
    <row r="247" spans="1:11" s="330" customFormat="1" ht="12">
      <c r="A247" s="566"/>
      <c r="B247" s="567"/>
      <c r="C247" s="568" t="s">
        <v>210</v>
      </c>
      <c r="D247" s="569"/>
      <c r="E247" s="569"/>
      <c r="F247" s="129"/>
      <c r="G247" s="129"/>
      <c r="H247" s="129"/>
      <c r="I247" s="569"/>
      <c r="J247" s="596"/>
      <c r="K247" s="570"/>
    </row>
    <row r="248" spans="1:11" s="330" customFormat="1" ht="12">
      <c r="A248" s="566"/>
      <c r="B248" s="567"/>
      <c r="C248" s="568" t="s">
        <v>211</v>
      </c>
      <c r="D248" s="569"/>
      <c r="E248" s="569"/>
      <c r="F248" s="129"/>
      <c r="G248" s="129"/>
      <c r="H248" s="129"/>
      <c r="I248" s="569"/>
      <c r="J248" s="596"/>
      <c r="K248" s="570"/>
    </row>
    <row r="249" spans="1:11" s="330" customFormat="1" ht="12">
      <c r="A249" s="566"/>
      <c r="B249" s="567"/>
      <c r="C249" s="568" t="s">
        <v>212</v>
      </c>
      <c r="D249" s="569">
        <f>SUM(E249+J249)</f>
        <v>97000</v>
      </c>
      <c r="E249" s="569">
        <v>97000</v>
      </c>
      <c r="F249" s="129"/>
      <c r="G249" s="129"/>
      <c r="H249" s="129"/>
      <c r="I249" s="569"/>
      <c r="J249" s="596"/>
      <c r="K249" s="570"/>
    </row>
    <row r="250" spans="1:11" s="330" customFormat="1" ht="12">
      <c r="A250" s="566"/>
      <c r="B250" s="567">
        <v>85214</v>
      </c>
      <c r="C250" s="568" t="s">
        <v>580</v>
      </c>
      <c r="D250" s="569"/>
      <c r="E250" s="569"/>
      <c r="F250" s="129"/>
      <c r="G250" s="129"/>
      <c r="H250" s="129"/>
      <c r="I250" s="569"/>
      <c r="J250" s="596"/>
      <c r="K250" s="570"/>
    </row>
    <row r="251" spans="1:11" s="330" customFormat="1" ht="12">
      <c r="A251" s="566"/>
      <c r="B251" s="567"/>
      <c r="C251" s="568" t="s">
        <v>221</v>
      </c>
      <c r="D251" s="569">
        <f>SUM(E251+J251)</f>
        <v>949000</v>
      </c>
      <c r="E251" s="569">
        <v>949000</v>
      </c>
      <c r="F251" s="129"/>
      <c r="G251" s="129"/>
      <c r="H251" s="129"/>
      <c r="I251" s="569"/>
      <c r="J251" s="596"/>
      <c r="K251" s="570"/>
    </row>
    <row r="252" spans="1:11" s="330" customFormat="1" ht="12">
      <c r="A252" s="566"/>
      <c r="B252" s="567">
        <v>85228</v>
      </c>
      <c r="C252" s="568" t="s">
        <v>174</v>
      </c>
      <c r="D252" s="569"/>
      <c r="E252" s="569"/>
      <c r="F252" s="129"/>
      <c r="G252" s="129"/>
      <c r="H252" s="129"/>
      <c r="I252" s="569"/>
      <c r="J252" s="596"/>
      <c r="K252" s="570"/>
    </row>
    <row r="253" spans="1:11" s="330" customFormat="1" ht="12.75" thickBot="1">
      <c r="A253" s="581"/>
      <c r="B253" s="582"/>
      <c r="C253" s="583" t="s">
        <v>173</v>
      </c>
      <c r="D253" s="584">
        <f>SUM(E253+J253)</f>
        <v>130000</v>
      </c>
      <c r="E253" s="584">
        <v>130000</v>
      </c>
      <c r="F253" s="140"/>
      <c r="G253" s="140">
        <v>125500</v>
      </c>
      <c r="H253" s="140"/>
      <c r="I253" s="584"/>
      <c r="J253" s="588"/>
      <c r="K253" s="570"/>
    </row>
    <row r="254" spans="1:11" s="330" customFormat="1" ht="12">
      <c r="A254" s="585"/>
      <c r="B254" s="586"/>
      <c r="C254" s="586"/>
      <c r="D254" s="586"/>
      <c r="E254" s="586"/>
      <c r="F254" s="848"/>
      <c r="G254" s="848"/>
      <c r="H254" s="848"/>
      <c r="I254" s="586"/>
      <c r="J254" s="589"/>
      <c r="K254" s="570"/>
    </row>
    <row r="255" spans="1:11" ht="12.75">
      <c r="A255" s="30"/>
      <c r="B255" s="34"/>
      <c r="C255" s="40" t="s">
        <v>566</v>
      </c>
      <c r="D255" s="141">
        <f aca="true" t="shared" si="41" ref="D255:J255">SUM(D225+D231+D236+D240)</f>
        <v>10714720</v>
      </c>
      <c r="E255" s="141">
        <f t="shared" si="41"/>
        <v>10714720</v>
      </c>
      <c r="F255" s="141">
        <f t="shared" si="41"/>
        <v>175000</v>
      </c>
      <c r="G255" s="141">
        <f t="shared" si="41"/>
        <v>683589</v>
      </c>
      <c r="H255" s="141">
        <f t="shared" si="41"/>
        <v>0</v>
      </c>
      <c r="I255" s="141">
        <f t="shared" si="41"/>
        <v>0</v>
      </c>
      <c r="J255" s="587">
        <f t="shared" si="41"/>
        <v>0</v>
      </c>
      <c r="K255" s="97"/>
    </row>
    <row r="256" spans="1:12" ht="12.75" thickBot="1">
      <c r="A256" s="63"/>
      <c r="B256" s="22"/>
      <c r="C256" s="22"/>
      <c r="D256" s="22"/>
      <c r="E256" s="22"/>
      <c r="F256" s="22"/>
      <c r="G256" s="22"/>
      <c r="H256" s="22"/>
      <c r="I256" s="22"/>
      <c r="J256" s="588"/>
      <c r="K256" s="142"/>
      <c r="L256" s="12"/>
    </row>
    <row r="257" spans="1:11" ht="12">
      <c r="A257" s="264"/>
      <c r="B257" s="264"/>
      <c r="C257" s="264"/>
      <c r="D257" s="264"/>
      <c r="E257" s="264"/>
      <c r="F257" s="264"/>
      <c r="G257" s="264"/>
      <c r="H257" s="264"/>
      <c r="I257" s="264"/>
      <c r="J257" s="264"/>
      <c r="K257" s="97"/>
    </row>
    <row r="258" spans="1:11" ht="39" customHeight="1">
      <c r="A258" s="1323" t="s">
        <v>118</v>
      </c>
      <c r="B258" s="1284"/>
      <c r="C258" s="1284"/>
      <c r="D258" s="1284"/>
      <c r="E258" s="1284"/>
      <c r="F258" s="1284"/>
      <c r="G258" s="1284"/>
      <c r="H258" s="1284"/>
      <c r="I258" s="1284"/>
      <c r="J258" s="1284"/>
      <c r="K258" s="97"/>
    </row>
    <row r="259" spans="1:11" ht="12">
      <c r="A259" s="1285" t="s">
        <v>353</v>
      </c>
      <c r="B259" s="1285"/>
      <c r="C259" s="1285"/>
      <c r="D259" s="1285"/>
      <c r="E259" s="1285"/>
      <c r="F259" s="1285"/>
      <c r="G259" s="1285"/>
      <c r="H259" s="1285"/>
      <c r="I259" s="1285"/>
      <c r="J259" s="1285"/>
      <c r="K259" s="452"/>
    </row>
    <row r="260" spans="1:11" ht="1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452"/>
    </row>
    <row r="261" spans="1:11" ht="15.75" thickBot="1">
      <c r="A261" s="132"/>
      <c r="B261" s="132"/>
      <c r="C261" s="132"/>
      <c r="D261" s="132"/>
      <c r="E261" s="132"/>
      <c r="F261" s="132"/>
      <c r="G261" s="132"/>
      <c r="H261" s="132"/>
      <c r="I261" s="132"/>
      <c r="J261" s="590" t="s">
        <v>593</v>
      </c>
      <c r="K261" s="97"/>
    </row>
    <row r="262" spans="1:11" ht="12">
      <c r="A262" s="1277" t="s">
        <v>375</v>
      </c>
      <c r="B262" s="1280" t="s">
        <v>394</v>
      </c>
      <c r="C262" s="1276" t="s">
        <v>395</v>
      </c>
      <c r="D262" s="1280" t="s">
        <v>335</v>
      </c>
      <c r="E262" s="1273" t="s">
        <v>555</v>
      </c>
      <c r="F262" s="1266"/>
      <c r="G262" s="1266"/>
      <c r="H262" s="1266"/>
      <c r="I262" s="1266"/>
      <c r="J262" s="1267"/>
      <c r="K262" s="97"/>
    </row>
    <row r="263" spans="1:11" ht="12" customHeight="1">
      <c r="A263" s="1278"/>
      <c r="B263" s="1274"/>
      <c r="C263" s="1271"/>
      <c r="D263" s="1274"/>
      <c r="E263" s="1268" t="s">
        <v>230</v>
      </c>
      <c r="F263" s="1269" t="s">
        <v>556</v>
      </c>
      <c r="G263" s="1269"/>
      <c r="H263" s="1269"/>
      <c r="I263" s="1269"/>
      <c r="J263" s="1270" t="s">
        <v>229</v>
      </c>
      <c r="K263" s="97"/>
    </row>
    <row r="264" spans="1:11" ht="36">
      <c r="A264" s="1279"/>
      <c r="B264" s="1275"/>
      <c r="C264" s="1272"/>
      <c r="D264" s="1275"/>
      <c r="E264" s="1275"/>
      <c r="F264" s="461" t="s">
        <v>557</v>
      </c>
      <c r="G264" s="461" t="s">
        <v>371</v>
      </c>
      <c r="H264" s="461" t="s">
        <v>227</v>
      </c>
      <c r="I264" s="461" t="s">
        <v>228</v>
      </c>
      <c r="J264" s="1315"/>
      <c r="K264" s="97"/>
    </row>
    <row r="265" spans="1:11" ht="12.75" thickBot="1">
      <c r="A265" s="490">
        <v>1</v>
      </c>
      <c r="B265" s="491">
        <v>2</v>
      </c>
      <c r="C265" s="494">
        <v>3</v>
      </c>
      <c r="D265" s="491">
        <v>4</v>
      </c>
      <c r="E265" s="491">
        <v>5</v>
      </c>
      <c r="F265" s="491">
        <v>6</v>
      </c>
      <c r="G265" s="491">
        <v>7</v>
      </c>
      <c r="H265" s="491">
        <v>8</v>
      </c>
      <c r="I265" s="491">
        <v>9</v>
      </c>
      <c r="J265" s="495">
        <v>10</v>
      </c>
      <c r="K265" s="97"/>
    </row>
    <row r="266" spans="1:11" ht="12">
      <c r="A266" s="17"/>
      <c r="B266" s="20"/>
      <c r="C266" s="16"/>
      <c r="D266" s="129"/>
      <c r="E266" s="129"/>
      <c r="F266" s="129"/>
      <c r="G266" s="129"/>
      <c r="H266" s="129"/>
      <c r="I266" s="129"/>
      <c r="J266" s="562"/>
      <c r="K266" s="97"/>
    </row>
    <row r="267" spans="1:11" ht="12">
      <c r="A267" s="17">
        <v>600</v>
      </c>
      <c r="B267" s="43"/>
      <c r="C267" s="21" t="s">
        <v>377</v>
      </c>
      <c r="D267" s="139">
        <f aca="true" t="shared" si="42" ref="D267:J267">SUM(D269:D270)</f>
        <v>7020000</v>
      </c>
      <c r="E267" s="139">
        <f t="shared" si="42"/>
        <v>300000</v>
      </c>
      <c r="F267" s="139">
        <f t="shared" si="42"/>
        <v>0</v>
      </c>
      <c r="G267" s="139">
        <f t="shared" si="42"/>
        <v>0</v>
      </c>
      <c r="H267" s="139">
        <f t="shared" si="42"/>
        <v>0</v>
      </c>
      <c r="I267" s="139">
        <f t="shared" si="42"/>
        <v>0</v>
      </c>
      <c r="J267" s="563">
        <f t="shared" si="42"/>
        <v>6720000</v>
      </c>
      <c r="K267" s="97"/>
    </row>
    <row r="268" spans="1:11" ht="12">
      <c r="A268" s="17"/>
      <c r="B268" s="50"/>
      <c r="C268" s="12"/>
      <c r="D268" s="149"/>
      <c r="E268" s="142"/>
      <c r="F268" s="129"/>
      <c r="G268" s="129"/>
      <c r="H268" s="129"/>
      <c r="I268" s="129"/>
      <c r="J268" s="562"/>
      <c r="K268" s="97"/>
    </row>
    <row r="269" spans="1:11" ht="12">
      <c r="A269" s="17"/>
      <c r="B269" s="20">
        <v>60013</v>
      </c>
      <c r="C269" s="16" t="s">
        <v>456</v>
      </c>
      <c r="D269" s="129">
        <f>SUM(E269+J269)</f>
        <v>1320000</v>
      </c>
      <c r="E269" s="129"/>
      <c r="F269" s="129"/>
      <c r="G269" s="129"/>
      <c r="H269" s="129"/>
      <c r="I269" s="129"/>
      <c r="J269" s="562">
        <v>1320000</v>
      </c>
      <c r="K269" s="97"/>
    </row>
    <row r="270" spans="1:11" s="36" customFormat="1" ht="13.5" thickBot="1">
      <c r="A270" s="45"/>
      <c r="B270" s="842">
        <v>60014</v>
      </c>
      <c r="C270" s="843" t="s">
        <v>554</v>
      </c>
      <c r="D270" s="137">
        <f>SUM(E270+J270)</f>
        <v>5700000</v>
      </c>
      <c r="E270" s="137">
        <v>300000</v>
      </c>
      <c r="F270" s="137"/>
      <c r="G270" s="137"/>
      <c r="H270" s="137"/>
      <c r="I270" s="137"/>
      <c r="J270" s="565">
        <v>5400000</v>
      </c>
      <c r="K270" s="97"/>
    </row>
    <row r="271" spans="1:11" s="36" customFormat="1" ht="13.5" thickTop="1">
      <c r="A271" s="17"/>
      <c r="B271" s="51"/>
      <c r="C271" s="12"/>
      <c r="D271" s="129"/>
      <c r="E271" s="129"/>
      <c r="F271" s="129"/>
      <c r="G271" s="129"/>
      <c r="H271" s="129"/>
      <c r="I271" s="129"/>
      <c r="J271" s="562"/>
      <c r="K271" s="97"/>
    </row>
    <row r="272" spans="1:11" s="36" customFormat="1" ht="12.75">
      <c r="A272" s="17">
        <v>853</v>
      </c>
      <c r="B272" s="52"/>
      <c r="C272" s="844" t="s">
        <v>523</v>
      </c>
      <c r="D272" s="130">
        <f aca="true" t="shared" si="43" ref="D272:J272">SUM(D274)</f>
        <v>75000</v>
      </c>
      <c r="E272" s="130">
        <f t="shared" si="43"/>
        <v>75000</v>
      </c>
      <c r="F272" s="130">
        <f t="shared" si="43"/>
        <v>75000</v>
      </c>
      <c r="G272" s="130">
        <f t="shared" si="43"/>
        <v>0</v>
      </c>
      <c r="H272" s="130">
        <f t="shared" si="43"/>
        <v>0</v>
      </c>
      <c r="I272" s="130">
        <f t="shared" si="43"/>
        <v>0</v>
      </c>
      <c r="J272" s="563">
        <f t="shared" si="43"/>
        <v>0</v>
      </c>
      <c r="K272" s="97"/>
    </row>
    <row r="273" spans="1:11" s="36" customFormat="1" ht="12.75">
      <c r="A273" s="17"/>
      <c r="B273" s="51"/>
      <c r="C273" s="12"/>
      <c r="D273" s="129"/>
      <c r="E273" s="129"/>
      <c r="F273" s="129"/>
      <c r="G273" s="129"/>
      <c r="H273" s="129"/>
      <c r="I273" s="129"/>
      <c r="J273" s="562"/>
      <c r="K273" s="97"/>
    </row>
    <row r="274" spans="1:11" s="36" customFormat="1" ht="13.5" thickBot="1">
      <c r="A274" s="18"/>
      <c r="B274" s="53">
        <v>85395</v>
      </c>
      <c r="C274" s="15" t="s">
        <v>113</v>
      </c>
      <c r="D274" s="140">
        <f>SUM(E274+J274)</f>
        <v>75000</v>
      </c>
      <c r="E274" s="140">
        <v>75000</v>
      </c>
      <c r="F274" s="140">
        <v>75000</v>
      </c>
      <c r="G274" s="140"/>
      <c r="H274" s="140"/>
      <c r="I274" s="140"/>
      <c r="J274" s="591"/>
      <c r="K274" s="97"/>
    </row>
    <row r="275" spans="1:11" ht="12">
      <c r="A275" s="62" t="s">
        <v>333</v>
      </c>
      <c r="B275" s="315"/>
      <c r="C275" s="39"/>
      <c r="D275" s="143"/>
      <c r="E275" s="143"/>
      <c r="F275" s="143"/>
      <c r="G275" s="143"/>
      <c r="H275" s="143"/>
      <c r="I275" s="143"/>
      <c r="J275" s="592"/>
      <c r="K275" s="97"/>
    </row>
    <row r="276" spans="1:11" ht="13.5" customHeight="1">
      <c r="A276" s="30"/>
      <c r="B276" s="317"/>
      <c r="C276" s="322" t="s">
        <v>566</v>
      </c>
      <c r="D276" s="141">
        <f aca="true" t="shared" si="44" ref="D276:J276">SUM(D267+D272)</f>
        <v>7095000</v>
      </c>
      <c r="E276" s="141">
        <f t="shared" si="44"/>
        <v>375000</v>
      </c>
      <c r="F276" s="141">
        <f t="shared" si="44"/>
        <v>75000</v>
      </c>
      <c r="G276" s="141">
        <f t="shared" si="44"/>
        <v>0</v>
      </c>
      <c r="H276" s="141">
        <f t="shared" si="44"/>
        <v>0</v>
      </c>
      <c r="I276" s="141">
        <f t="shared" si="44"/>
        <v>0</v>
      </c>
      <c r="J276" s="587">
        <f t="shared" si="44"/>
        <v>6720000</v>
      </c>
      <c r="K276" s="97"/>
    </row>
    <row r="277" spans="1:11" ht="12.75" thickBot="1">
      <c r="A277" s="63"/>
      <c r="B277" s="323"/>
      <c r="C277" s="15"/>
      <c r="D277" s="140"/>
      <c r="E277" s="140"/>
      <c r="F277" s="140"/>
      <c r="G277" s="140"/>
      <c r="H277" s="140"/>
      <c r="I277" s="140"/>
      <c r="J277" s="591"/>
      <c r="K277" s="97"/>
    </row>
    <row r="278" ht="12.75" customHeight="1">
      <c r="K278" s="97"/>
    </row>
    <row r="279" ht="12.75" customHeight="1">
      <c r="K279" s="97"/>
    </row>
    <row r="280" spans="1:11" s="96" customFormat="1" ht="15">
      <c r="A280" s="1284" t="s">
        <v>233</v>
      </c>
      <c r="B280" s="1284"/>
      <c r="C280" s="1284"/>
      <c r="D280" s="1284"/>
      <c r="E280" s="1284"/>
      <c r="F280" s="1284"/>
      <c r="G280" s="1284"/>
      <c r="H280" s="1284"/>
      <c r="I280" s="1284"/>
      <c r="J280" s="1284"/>
      <c r="K280" s="97"/>
    </row>
    <row r="281" spans="1:11" ht="12.75" customHeight="1">
      <c r="A281" s="1285" t="s">
        <v>353</v>
      </c>
      <c r="B281" s="1285"/>
      <c r="C281" s="1285"/>
      <c r="D281" s="1285"/>
      <c r="E281" s="1285"/>
      <c r="F281" s="1285"/>
      <c r="G281" s="1285"/>
      <c r="H281" s="1285"/>
      <c r="I281" s="1285"/>
      <c r="J281" s="1285"/>
      <c r="K281" s="452"/>
    </row>
    <row r="282" spans="1:11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452"/>
    </row>
    <row r="283" spans="1:11" ht="12.75" customHeight="1" thickBot="1">
      <c r="A283" s="132"/>
      <c r="B283" s="132"/>
      <c r="C283" s="132"/>
      <c r="D283" s="132"/>
      <c r="E283" s="132"/>
      <c r="F283" s="132"/>
      <c r="G283" s="132"/>
      <c r="H283" s="132"/>
      <c r="I283" s="132"/>
      <c r="J283" s="59" t="s">
        <v>593</v>
      </c>
      <c r="K283" s="132"/>
    </row>
    <row r="284" spans="1:11" s="96" customFormat="1" ht="12.75" customHeight="1">
      <c r="A284" s="1277" t="s">
        <v>375</v>
      </c>
      <c r="B284" s="1280" t="s">
        <v>394</v>
      </c>
      <c r="C284" s="1276" t="s">
        <v>395</v>
      </c>
      <c r="D284" s="1280" t="s">
        <v>335</v>
      </c>
      <c r="E284" s="1273" t="s">
        <v>555</v>
      </c>
      <c r="F284" s="1266"/>
      <c r="G284" s="1266"/>
      <c r="H284" s="1266"/>
      <c r="I284" s="1266"/>
      <c r="J284" s="1267"/>
      <c r="K284" s="97"/>
    </row>
    <row r="285" spans="1:11" s="29" customFormat="1" ht="12" customHeight="1">
      <c r="A285" s="1278"/>
      <c r="B285" s="1274"/>
      <c r="C285" s="1271"/>
      <c r="D285" s="1274"/>
      <c r="E285" s="1268" t="s">
        <v>230</v>
      </c>
      <c r="F285" s="1269" t="s">
        <v>556</v>
      </c>
      <c r="G285" s="1269"/>
      <c r="H285" s="1269"/>
      <c r="I285" s="1269"/>
      <c r="J285" s="1270" t="s">
        <v>229</v>
      </c>
      <c r="K285" s="97"/>
    </row>
    <row r="286" spans="1:11" ht="36">
      <c r="A286" s="1279"/>
      <c r="B286" s="1275"/>
      <c r="C286" s="1272"/>
      <c r="D286" s="1275"/>
      <c r="E286" s="1275"/>
      <c r="F286" s="461" t="s">
        <v>557</v>
      </c>
      <c r="G286" s="461" t="s">
        <v>371</v>
      </c>
      <c r="H286" s="461" t="s">
        <v>227</v>
      </c>
      <c r="I286" s="461" t="s">
        <v>228</v>
      </c>
      <c r="J286" s="1315"/>
      <c r="K286" s="97"/>
    </row>
    <row r="287" spans="1:11" ht="12.75" thickBot="1">
      <c r="A287" s="490">
        <v>1</v>
      </c>
      <c r="B287" s="491">
        <v>2</v>
      </c>
      <c r="C287" s="494">
        <v>3</v>
      </c>
      <c r="D287" s="491">
        <v>4</v>
      </c>
      <c r="E287" s="491">
        <v>5</v>
      </c>
      <c r="F287" s="491">
        <v>6</v>
      </c>
      <c r="G287" s="491">
        <v>7</v>
      </c>
      <c r="H287" s="491">
        <v>8</v>
      </c>
      <c r="I287" s="491">
        <v>9</v>
      </c>
      <c r="J287" s="495">
        <v>10</v>
      </c>
      <c r="K287" s="97"/>
    </row>
    <row r="288" spans="1:11" ht="12">
      <c r="A288" s="17"/>
      <c r="B288" s="20"/>
      <c r="C288" s="16"/>
      <c r="D288" s="129"/>
      <c r="E288" s="129"/>
      <c r="F288" s="129"/>
      <c r="G288" s="129"/>
      <c r="H288" s="129"/>
      <c r="I288" s="129"/>
      <c r="J288" s="562"/>
      <c r="K288" s="97"/>
    </row>
    <row r="289" spans="1:11" ht="12">
      <c r="A289" s="17">
        <v>600</v>
      </c>
      <c r="B289" s="43"/>
      <c r="C289" s="21" t="s">
        <v>377</v>
      </c>
      <c r="D289" s="130">
        <f aca="true" t="shared" si="45" ref="D289:J289">SUM(D291:D295)</f>
        <v>1000000</v>
      </c>
      <c r="E289" s="130">
        <f t="shared" si="45"/>
        <v>0</v>
      </c>
      <c r="F289" s="130">
        <f t="shared" si="45"/>
        <v>0</v>
      </c>
      <c r="G289" s="130">
        <f t="shared" si="45"/>
        <v>0</v>
      </c>
      <c r="H289" s="130">
        <f t="shared" si="45"/>
        <v>0</v>
      </c>
      <c r="I289" s="130">
        <f t="shared" si="45"/>
        <v>0</v>
      </c>
      <c r="J289" s="563">
        <f t="shared" si="45"/>
        <v>1000000</v>
      </c>
      <c r="K289" s="97"/>
    </row>
    <row r="290" spans="1:11" ht="12">
      <c r="A290" s="17"/>
      <c r="B290" s="50"/>
      <c r="C290" s="12"/>
      <c r="D290" s="129"/>
      <c r="E290" s="129"/>
      <c r="F290" s="129"/>
      <c r="G290" s="129"/>
      <c r="H290" s="129"/>
      <c r="I290" s="129"/>
      <c r="J290" s="562"/>
      <c r="K290" s="97"/>
    </row>
    <row r="291" spans="1:11" ht="12">
      <c r="A291" s="17"/>
      <c r="B291" s="43">
        <v>60004</v>
      </c>
      <c r="C291" s="21" t="s">
        <v>569</v>
      </c>
      <c r="D291" s="130">
        <f>SUM(E291+J291)</f>
        <v>300000</v>
      </c>
      <c r="E291" s="130"/>
      <c r="F291" s="130"/>
      <c r="G291" s="130"/>
      <c r="H291" s="130"/>
      <c r="I291" s="130"/>
      <c r="J291" s="563">
        <v>300000</v>
      </c>
      <c r="K291" s="97"/>
    </row>
    <row r="292" spans="1:11" ht="12">
      <c r="A292" s="17"/>
      <c r="B292" s="51"/>
      <c r="C292" s="12"/>
      <c r="D292" s="129"/>
      <c r="E292" s="129"/>
      <c r="F292" s="129"/>
      <c r="G292" s="129"/>
      <c r="H292" s="129"/>
      <c r="I292" s="129"/>
      <c r="J292" s="562"/>
      <c r="K292" s="97"/>
    </row>
    <row r="293" spans="1:11" s="36" customFormat="1" ht="12.75">
      <c r="A293" s="17"/>
      <c r="B293" s="52">
        <v>60013</v>
      </c>
      <c r="C293" s="844" t="s">
        <v>456</v>
      </c>
      <c r="D293" s="130">
        <f>SUM(E293+J293)</f>
        <v>500000</v>
      </c>
      <c r="E293" s="130"/>
      <c r="F293" s="130"/>
      <c r="G293" s="130"/>
      <c r="H293" s="130"/>
      <c r="I293" s="130"/>
      <c r="J293" s="563">
        <v>500000</v>
      </c>
      <c r="K293" s="97"/>
    </row>
    <row r="294" spans="1:11" ht="12">
      <c r="A294" s="17"/>
      <c r="B294" s="20"/>
      <c r="C294" s="55"/>
      <c r="D294" s="129"/>
      <c r="E294" s="129"/>
      <c r="F294" s="129"/>
      <c r="G294" s="129"/>
      <c r="H294" s="129"/>
      <c r="I294" s="129"/>
      <c r="J294" s="562"/>
      <c r="K294" s="97"/>
    </row>
    <row r="295" spans="1:11" ht="12.75" thickBot="1">
      <c r="A295" s="17"/>
      <c r="B295" s="43">
        <v>60014</v>
      </c>
      <c r="C295" s="921" t="s">
        <v>554</v>
      </c>
      <c r="D295" s="130">
        <f>SUM(E295+J295)</f>
        <v>200000</v>
      </c>
      <c r="E295" s="130"/>
      <c r="F295" s="130"/>
      <c r="G295" s="130"/>
      <c r="H295" s="130"/>
      <c r="I295" s="130"/>
      <c r="J295" s="563">
        <v>200000</v>
      </c>
      <c r="K295" s="97"/>
    </row>
    <row r="296" spans="1:11" ht="12">
      <c r="A296" s="62" t="s">
        <v>333</v>
      </c>
      <c r="B296" s="315"/>
      <c r="C296" s="39"/>
      <c r="D296" s="143"/>
      <c r="E296" s="143"/>
      <c r="F296" s="143"/>
      <c r="G296" s="143"/>
      <c r="H296" s="143"/>
      <c r="I296" s="143"/>
      <c r="J296" s="592"/>
      <c r="K296" s="97"/>
    </row>
    <row r="297" spans="1:11" ht="12.75">
      <c r="A297" s="30"/>
      <c r="B297" s="317"/>
      <c r="C297" s="322" t="s">
        <v>566</v>
      </c>
      <c r="D297" s="141">
        <f>SUM(D289)</f>
        <v>1000000</v>
      </c>
      <c r="E297" s="141">
        <f aca="true" t="shared" si="46" ref="E297:J297">SUM(E289)</f>
        <v>0</v>
      </c>
      <c r="F297" s="141">
        <f t="shared" si="46"/>
        <v>0</v>
      </c>
      <c r="G297" s="141">
        <f t="shared" si="46"/>
        <v>0</v>
      </c>
      <c r="H297" s="141">
        <f t="shared" si="46"/>
        <v>0</v>
      </c>
      <c r="I297" s="141">
        <f t="shared" si="46"/>
        <v>0</v>
      </c>
      <c r="J297" s="587">
        <f t="shared" si="46"/>
        <v>1000000</v>
      </c>
      <c r="K297" s="97"/>
    </row>
    <row r="298" spans="1:11" ht="12.75" customHeight="1" thickBot="1">
      <c r="A298" s="63"/>
      <c r="B298" s="323"/>
      <c r="C298" s="15"/>
      <c r="D298" s="140"/>
      <c r="E298" s="140"/>
      <c r="F298" s="140"/>
      <c r="G298" s="140"/>
      <c r="H298" s="140"/>
      <c r="I298" s="140"/>
      <c r="J298" s="591"/>
      <c r="K298" s="97"/>
    </row>
    <row r="299" ht="12.75" customHeight="1">
      <c r="K299" s="97"/>
    </row>
    <row r="300" ht="12">
      <c r="K300" s="97"/>
    </row>
    <row r="301" ht="12">
      <c r="K301" s="97"/>
    </row>
    <row r="302" ht="12">
      <c r="K302" s="97"/>
    </row>
    <row r="303" ht="12">
      <c r="K303" s="97"/>
    </row>
    <row r="304" ht="12">
      <c r="K304" s="97"/>
    </row>
    <row r="305" ht="12">
      <c r="K305" s="97"/>
    </row>
    <row r="306" ht="12">
      <c r="K306" s="97"/>
    </row>
    <row r="307" ht="12">
      <c r="K307" s="97"/>
    </row>
    <row r="308" ht="12">
      <c r="K308" s="97"/>
    </row>
    <row r="309" ht="12">
      <c r="K309" s="97"/>
    </row>
    <row r="310" ht="12">
      <c r="K310" s="97"/>
    </row>
    <row r="311" ht="12">
      <c r="K311" s="97"/>
    </row>
    <row r="312" ht="12">
      <c r="K312" s="97"/>
    </row>
    <row r="313" ht="12">
      <c r="K313" s="97"/>
    </row>
    <row r="314" ht="12">
      <c r="K314" s="97"/>
    </row>
    <row r="315" ht="12">
      <c r="K315" s="97"/>
    </row>
    <row r="316" ht="12">
      <c r="K316" s="97"/>
    </row>
    <row r="317" ht="12">
      <c r="K317" s="97"/>
    </row>
    <row r="318" ht="12">
      <c r="K318" s="97"/>
    </row>
    <row r="319" ht="12">
      <c r="K319" s="97"/>
    </row>
    <row r="320" ht="12">
      <c r="K320" s="97"/>
    </row>
    <row r="321" ht="12">
      <c r="K321" s="97"/>
    </row>
    <row r="322" ht="12">
      <c r="K322" s="97"/>
    </row>
    <row r="323" ht="12">
      <c r="K323" s="97"/>
    </row>
    <row r="324" ht="12">
      <c r="K324" s="97"/>
    </row>
    <row r="325" ht="12">
      <c r="K325" s="97"/>
    </row>
    <row r="326" ht="12">
      <c r="K326" s="97"/>
    </row>
    <row r="327" ht="12">
      <c r="K327" s="97"/>
    </row>
    <row r="328" ht="12">
      <c r="K328" s="97"/>
    </row>
    <row r="329" ht="12">
      <c r="K329" s="97"/>
    </row>
    <row r="330" ht="12">
      <c r="K330" s="97"/>
    </row>
    <row r="331" ht="12">
      <c r="K331" s="97"/>
    </row>
    <row r="332" ht="12">
      <c r="K332" s="97"/>
    </row>
    <row r="333" ht="12">
      <c r="K333" s="97"/>
    </row>
    <row r="334" ht="12">
      <c r="K334" s="97"/>
    </row>
    <row r="335" ht="12">
      <c r="K335" s="97"/>
    </row>
    <row r="336" ht="12">
      <c r="K336" s="97"/>
    </row>
    <row r="337" ht="12">
      <c r="K337" s="97"/>
    </row>
    <row r="338" ht="12">
      <c r="K338" s="97"/>
    </row>
    <row r="339" ht="12">
      <c r="K339" s="97"/>
    </row>
    <row r="340" ht="12">
      <c r="K340" s="97"/>
    </row>
    <row r="341" ht="12">
      <c r="K341" s="97"/>
    </row>
    <row r="342" ht="12">
      <c r="K342" s="97"/>
    </row>
    <row r="343" ht="12">
      <c r="K343" s="97"/>
    </row>
    <row r="344" ht="12">
      <c r="K344" s="97"/>
    </row>
    <row r="345" ht="12">
      <c r="K345" s="97"/>
    </row>
    <row r="346" ht="12">
      <c r="K346" s="97"/>
    </row>
    <row r="347" ht="12">
      <c r="K347" s="97"/>
    </row>
    <row r="348" ht="12">
      <c r="K348" s="97"/>
    </row>
    <row r="349" ht="12">
      <c r="K349" s="97"/>
    </row>
    <row r="350" ht="12">
      <c r="K350" s="97"/>
    </row>
    <row r="351" ht="12">
      <c r="K351" s="97"/>
    </row>
    <row r="352" ht="12">
      <c r="K352" s="97"/>
    </row>
    <row r="353" ht="12">
      <c r="K353" s="97"/>
    </row>
    <row r="354" ht="12">
      <c r="K354" s="97"/>
    </row>
    <row r="355" ht="12">
      <c r="K355" s="97"/>
    </row>
    <row r="356" ht="12">
      <c r="K356" s="97"/>
    </row>
    <row r="357" ht="12">
      <c r="K357" s="97"/>
    </row>
    <row r="358" ht="12">
      <c r="K358" s="97"/>
    </row>
    <row r="359" ht="12">
      <c r="K359" s="97"/>
    </row>
    <row r="360" ht="12">
      <c r="K360" s="97"/>
    </row>
    <row r="361" ht="12">
      <c r="K361" s="97"/>
    </row>
    <row r="362" ht="12">
      <c r="K362" s="97"/>
    </row>
    <row r="363" ht="12">
      <c r="K363" s="97"/>
    </row>
    <row r="364" ht="12">
      <c r="K364" s="97"/>
    </row>
    <row r="365" ht="12">
      <c r="K365" s="97"/>
    </row>
    <row r="366" ht="12">
      <c r="K366" s="97"/>
    </row>
    <row r="367" ht="12">
      <c r="K367" s="97"/>
    </row>
    <row r="368" ht="12">
      <c r="K368" s="97"/>
    </row>
    <row r="369" ht="12">
      <c r="K369" s="97"/>
    </row>
    <row r="370" ht="12">
      <c r="K370" s="97"/>
    </row>
    <row r="371" ht="12">
      <c r="K371" s="97"/>
    </row>
    <row r="372" ht="12">
      <c r="K372" s="97"/>
    </row>
    <row r="373" ht="12">
      <c r="K373" s="97"/>
    </row>
    <row r="374" ht="12">
      <c r="K374" s="97"/>
    </row>
    <row r="375" ht="12">
      <c r="K375" s="97"/>
    </row>
    <row r="376" ht="12">
      <c r="K376" s="97"/>
    </row>
    <row r="377" ht="12">
      <c r="K377" s="97"/>
    </row>
    <row r="378" ht="12">
      <c r="K378" s="97"/>
    </row>
    <row r="379" ht="12">
      <c r="K379" s="97"/>
    </row>
    <row r="380" ht="12">
      <c r="K380" s="97"/>
    </row>
    <row r="381" ht="12">
      <c r="K381" s="97"/>
    </row>
    <row r="382" ht="12">
      <c r="K382" s="97"/>
    </row>
    <row r="383" ht="12">
      <c r="K383" s="97"/>
    </row>
    <row r="384" ht="12">
      <c r="K384" s="97"/>
    </row>
    <row r="385" ht="12">
      <c r="K385" s="97"/>
    </row>
    <row r="386" ht="12">
      <c r="K386" s="97"/>
    </row>
    <row r="387" ht="12">
      <c r="K387" s="97"/>
    </row>
    <row r="388" ht="12">
      <c r="K388" s="97"/>
    </row>
    <row r="389" ht="12">
      <c r="K389" s="97"/>
    </row>
    <row r="390" ht="12">
      <c r="K390" s="97"/>
    </row>
    <row r="391" ht="12">
      <c r="K391" s="97"/>
    </row>
    <row r="392" ht="12">
      <c r="K392" s="97"/>
    </row>
    <row r="393" ht="12">
      <c r="K393" s="97"/>
    </row>
    <row r="394" ht="12">
      <c r="K394" s="97"/>
    </row>
    <row r="395" ht="12">
      <c r="K395" s="97"/>
    </row>
    <row r="396" ht="12">
      <c r="K396" s="97"/>
    </row>
    <row r="397" ht="12">
      <c r="K397" s="97"/>
    </row>
    <row r="398" ht="12">
      <c r="K398" s="97"/>
    </row>
    <row r="399" ht="12">
      <c r="K399" s="97"/>
    </row>
    <row r="400" ht="12">
      <c r="K400" s="97"/>
    </row>
    <row r="401" ht="12">
      <c r="K401" s="97"/>
    </row>
    <row r="402" ht="12">
      <c r="K402" s="97"/>
    </row>
    <row r="403" ht="12">
      <c r="K403" s="97"/>
    </row>
    <row r="404" ht="12">
      <c r="K404" s="97"/>
    </row>
    <row r="405" ht="12">
      <c r="K405" s="97"/>
    </row>
    <row r="406" ht="12">
      <c r="K406" s="97"/>
    </row>
    <row r="407" ht="12">
      <c r="K407" s="97"/>
    </row>
    <row r="408" ht="12">
      <c r="K408" s="97"/>
    </row>
    <row r="409" ht="12">
      <c r="K409" s="97"/>
    </row>
    <row r="410" ht="12">
      <c r="K410" s="97"/>
    </row>
    <row r="411" ht="12">
      <c r="K411" s="97"/>
    </row>
    <row r="412" ht="12">
      <c r="K412" s="97"/>
    </row>
    <row r="413" ht="12">
      <c r="K413" s="97"/>
    </row>
    <row r="414" ht="12">
      <c r="K414" s="97"/>
    </row>
    <row r="415" ht="12">
      <c r="K415" s="97"/>
    </row>
    <row r="416" ht="12">
      <c r="K416" s="97"/>
    </row>
    <row r="417" ht="12">
      <c r="K417" s="97"/>
    </row>
    <row r="418" ht="12">
      <c r="K418" s="97"/>
    </row>
    <row r="419" ht="12">
      <c r="K419" s="97"/>
    </row>
    <row r="420" ht="12">
      <c r="K420" s="97"/>
    </row>
    <row r="421" ht="12">
      <c r="K421" s="97"/>
    </row>
    <row r="422" ht="12">
      <c r="K422" s="97"/>
    </row>
    <row r="423" ht="12">
      <c r="K423" s="97"/>
    </row>
    <row r="424" ht="12">
      <c r="K424" s="97"/>
    </row>
    <row r="425" ht="12">
      <c r="K425" s="97"/>
    </row>
    <row r="426" ht="12">
      <c r="K426" s="97"/>
    </row>
    <row r="427" ht="12">
      <c r="K427" s="97"/>
    </row>
    <row r="428" ht="12">
      <c r="K428" s="97"/>
    </row>
    <row r="429" ht="12">
      <c r="K429" s="97"/>
    </row>
    <row r="430" ht="12">
      <c r="K430" s="97"/>
    </row>
    <row r="431" ht="12">
      <c r="K431" s="97"/>
    </row>
    <row r="432" ht="12">
      <c r="K432" s="97"/>
    </row>
    <row r="433" ht="12">
      <c r="K433" s="97"/>
    </row>
    <row r="434" ht="12">
      <c r="K434" s="97"/>
    </row>
    <row r="435" ht="12">
      <c r="K435" s="97"/>
    </row>
    <row r="436" ht="12">
      <c r="K436" s="97"/>
    </row>
    <row r="437" ht="12">
      <c r="K437" s="97"/>
    </row>
    <row r="438" ht="12">
      <c r="K438" s="97"/>
    </row>
    <row r="439" ht="12">
      <c r="K439" s="97"/>
    </row>
    <row r="440" ht="12">
      <c r="K440" s="97"/>
    </row>
    <row r="441" ht="12">
      <c r="K441" s="97"/>
    </row>
    <row r="442" ht="12">
      <c r="K442" s="97"/>
    </row>
    <row r="443" ht="12">
      <c r="K443" s="97"/>
    </row>
    <row r="444" ht="12">
      <c r="K444" s="97"/>
    </row>
    <row r="445" ht="12">
      <c r="K445" s="97"/>
    </row>
    <row r="446" ht="12">
      <c r="K446" s="97"/>
    </row>
    <row r="447" ht="12">
      <c r="K447" s="97"/>
    </row>
    <row r="448" ht="12">
      <c r="K448" s="97"/>
    </row>
    <row r="449" ht="12">
      <c r="K449" s="97"/>
    </row>
    <row r="450" ht="12">
      <c r="K450" s="97"/>
    </row>
    <row r="451" ht="12">
      <c r="K451" s="97"/>
    </row>
    <row r="452" ht="12">
      <c r="K452" s="97"/>
    </row>
    <row r="453" ht="12">
      <c r="K453" s="97"/>
    </row>
  </sheetData>
  <mergeCells count="51">
    <mergeCell ref="A3:J3"/>
    <mergeCell ref="A2:J2"/>
    <mergeCell ref="A65:J65"/>
    <mergeCell ref="A259:J259"/>
    <mergeCell ref="A220:A222"/>
    <mergeCell ref="B220:B222"/>
    <mergeCell ref="C220:C222"/>
    <mergeCell ref="D220:D222"/>
    <mergeCell ref="J6:J7"/>
    <mergeCell ref="E6:E7"/>
    <mergeCell ref="A217:J217"/>
    <mergeCell ref="A258:J258"/>
    <mergeCell ref="A262:A264"/>
    <mergeCell ref="B262:B264"/>
    <mergeCell ref="C262:C264"/>
    <mergeCell ref="D262:D264"/>
    <mergeCell ref="E262:J262"/>
    <mergeCell ref="E263:E264"/>
    <mergeCell ref="F263:I263"/>
    <mergeCell ref="J263:J264"/>
    <mergeCell ref="E220:J220"/>
    <mergeCell ref="E221:E222"/>
    <mergeCell ref="F221:I221"/>
    <mergeCell ref="J221:J222"/>
    <mergeCell ref="I1:J1"/>
    <mergeCell ref="J67:J68"/>
    <mergeCell ref="A216:J216"/>
    <mergeCell ref="E69:J69"/>
    <mergeCell ref="F70:I70"/>
    <mergeCell ref="D69:D71"/>
    <mergeCell ref="B5:B7"/>
    <mergeCell ref="C5:C7"/>
    <mergeCell ref="F6:I6"/>
    <mergeCell ref="E5:J5"/>
    <mergeCell ref="J70:J71"/>
    <mergeCell ref="A66:J66"/>
    <mergeCell ref="D5:D7"/>
    <mergeCell ref="E70:E71"/>
    <mergeCell ref="A69:A71"/>
    <mergeCell ref="B69:B71"/>
    <mergeCell ref="C69:C71"/>
    <mergeCell ref="A280:J280"/>
    <mergeCell ref="A281:J281"/>
    <mergeCell ref="A284:A286"/>
    <mergeCell ref="B284:B286"/>
    <mergeCell ref="C284:C286"/>
    <mergeCell ref="D284:D286"/>
    <mergeCell ref="E284:J284"/>
    <mergeCell ref="E285:E286"/>
    <mergeCell ref="F285:I285"/>
    <mergeCell ref="J285:J28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6" r:id="rId1"/>
  <rowBreaks count="7" manualBreakCount="7">
    <brk id="39" max="9" man="1"/>
    <brk id="63" max="9" man="1"/>
    <brk id="107" max="9" man="1"/>
    <brk id="153" max="9" man="1"/>
    <brk id="197" max="9" man="1"/>
    <brk id="215" max="9" man="1"/>
    <brk id="25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17"/>
  <sheetViews>
    <sheetView showGridLines="0" view="pageBreakPreview" zoomScaleSheetLayoutView="100" workbookViewId="0" topLeftCell="A1">
      <selection activeCell="I14" sqref="I14"/>
    </sheetView>
  </sheetViews>
  <sheetFormatPr defaultColWidth="9.00390625" defaultRowHeight="12"/>
  <cols>
    <col min="1" max="1" width="4.75390625" style="522" bestFit="1" customWidth="1"/>
    <col min="2" max="2" width="40.125" style="522" bestFit="1" customWidth="1"/>
    <col min="3" max="3" width="17.75390625" style="522" customWidth="1"/>
    <col min="4" max="4" width="24.125" style="522" customWidth="1"/>
    <col min="5" max="16384" width="9.125" style="522" customWidth="1"/>
  </cols>
  <sheetData>
    <row r="1" spans="3:4" s="231" customFormat="1" ht="48">
      <c r="C1" s="232"/>
      <c r="D1" s="232" t="s">
        <v>60</v>
      </c>
    </row>
    <row r="2" spans="3:4" s="231" customFormat="1" ht="12">
      <c r="C2" s="274"/>
      <c r="D2" s="274"/>
    </row>
    <row r="3" spans="3:4" s="231" customFormat="1" ht="12">
      <c r="C3" s="274"/>
      <c r="D3" s="274"/>
    </row>
    <row r="4" spans="1:4" s="231" customFormat="1" ht="15" customHeight="1">
      <c r="A4" s="1330" t="s">
        <v>213</v>
      </c>
      <c r="B4" s="1330"/>
      <c r="C4" s="1330"/>
      <c r="D4" s="1330"/>
    </row>
    <row r="5" s="231" customFormat="1" ht="6.75" customHeight="1">
      <c r="A5" s="364"/>
    </row>
    <row r="6" spans="1:4" ht="12.75" thickBot="1">
      <c r="A6" s="231"/>
      <c r="B6" s="231"/>
      <c r="C6" s="231"/>
      <c r="D6" s="371" t="s">
        <v>593</v>
      </c>
    </row>
    <row r="7" spans="1:4" s="231" customFormat="1" ht="15" customHeight="1">
      <c r="A7" s="1331" t="s">
        <v>595</v>
      </c>
      <c r="B7" s="1333" t="s">
        <v>395</v>
      </c>
      <c r="C7" s="1335" t="s">
        <v>195</v>
      </c>
      <c r="D7" s="1336" t="s">
        <v>614</v>
      </c>
    </row>
    <row r="8" spans="1:4" s="231" customFormat="1" ht="15" customHeight="1">
      <c r="A8" s="1332"/>
      <c r="B8" s="1334"/>
      <c r="C8" s="1334"/>
      <c r="D8" s="1337"/>
    </row>
    <row r="9" spans="1:4" s="231" customFormat="1" ht="15.75" customHeight="1">
      <c r="A9" s="1332"/>
      <c r="B9" s="1334"/>
      <c r="C9" s="1334"/>
      <c r="D9" s="1337"/>
    </row>
    <row r="10" spans="1:4" s="369" customFormat="1" ht="12" thickBot="1">
      <c r="A10" s="499">
        <v>1</v>
      </c>
      <c r="B10" s="492">
        <v>2</v>
      </c>
      <c r="C10" s="492">
        <v>3</v>
      </c>
      <c r="D10" s="500">
        <v>4</v>
      </c>
    </row>
    <row r="11" spans="1:4" s="231" customFormat="1" ht="18.75" customHeight="1">
      <c r="A11" s="1328" t="s">
        <v>196</v>
      </c>
      <c r="B11" s="1329"/>
      <c r="C11" s="394"/>
      <c r="D11" s="498">
        <f>SUM(D12:D13)</f>
        <v>9000000</v>
      </c>
    </row>
    <row r="12" spans="1:4" s="231" customFormat="1" ht="25.5" customHeight="1">
      <c r="A12" s="925" t="s">
        <v>639</v>
      </c>
      <c r="B12" s="926" t="s">
        <v>154</v>
      </c>
      <c r="C12" s="365" t="s">
        <v>197</v>
      </c>
      <c r="D12" s="927">
        <v>6000000</v>
      </c>
    </row>
    <row r="13" spans="1:4" s="231" customFormat="1" ht="25.5" customHeight="1" thickBot="1">
      <c r="A13" s="923" t="s">
        <v>640</v>
      </c>
      <c r="B13" s="928" t="s">
        <v>612</v>
      </c>
      <c r="C13" s="924" t="s">
        <v>613</v>
      </c>
      <c r="D13" s="929">
        <v>3000000</v>
      </c>
    </row>
    <row r="14" spans="1:4" s="231" customFormat="1" ht="18.75" customHeight="1">
      <c r="A14" s="1328" t="s">
        <v>198</v>
      </c>
      <c r="B14" s="1329"/>
      <c r="C14" s="394"/>
      <c r="D14" s="498">
        <f>SUM(D15:D15)</f>
        <v>1300000</v>
      </c>
    </row>
    <row r="15" spans="1:4" s="231" customFormat="1" ht="26.25" thickBot="1">
      <c r="A15" s="367" t="s">
        <v>639</v>
      </c>
      <c r="B15" s="537" t="s">
        <v>155</v>
      </c>
      <c r="C15" s="368" t="s">
        <v>199</v>
      </c>
      <c r="D15" s="630">
        <v>1300000</v>
      </c>
    </row>
    <row r="16" spans="1:4" s="231" customFormat="1" ht="7.5" customHeight="1">
      <c r="A16" s="224"/>
      <c r="B16" s="523"/>
      <c r="C16" s="523"/>
      <c r="D16" s="523"/>
    </row>
    <row r="17" spans="1:6" ht="12.75">
      <c r="A17" s="372"/>
      <c r="B17" s="366"/>
      <c r="C17" s="366"/>
      <c r="D17" s="366"/>
      <c r="E17" s="366"/>
      <c r="F17" s="366"/>
    </row>
  </sheetData>
  <mergeCells count="7">
    <mergeCell ref="A11:B11"/>
    <mergeCell ref="A14:B14"/>
    <mergeCell ref="A4:D4"/>
    <mergeCell ref="A7:A9"/>
    <mergeCell ref="B7:B9"/>
    <mergeCell ref="C7:C9"/>
    <mergeCell ref="D7:D9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showGridLines="0" view="pageBreakPreview" zoomScaleSheetLayoutView="100" workbookViewId="0" topLeftCell="A1">
      <selection activeCell="G28" sqref="G28"/>
    </sheetView>
  </sheetViews>
  <sheetFormatPr defaultColWidth="9.00390625" defaultRowHeight="12"/>
  <cols>
    <col min="1" max="1" width="4.75390625" style="10" customWidth="1"/>
    <col min="2" max="2" width="55.25390625" style="10" customWidth="1"/>
    <col min="3" max="4" width="21.00390625" style="10" customWidth="1"/>
    <col min="5" max="5" width="20.625" style="10" customWidth="1"/>
    <col min="6" max="6" width="21.00390625" style="10" customWidth="1"/>
    <col min="7" max="16384" width="9.125" style="10" customWidth="1"/>
  </cols>
  <sheetData>
    <row r="1" ht="47.25" customHeight="1">
      <c r="F1" s="127" t="s">
        <v>61</v>
      </c>
    </row>
    <row r="3" spans="1:6" ht="20.25" customHeight="1">
      <c r="A3" s="1325" t="s">
        <v>214</v>
      </c>
      <c r="B3" s="1325"/>
      <c r="C3" s="1325"/>
      <c r="D3" s="1325"/>
      <c r="E3" s="1325"/>
      <c r="F3" s="1325"/>
    </row>
    <row r="4" spans="1:6" s="29" customFormat="1" ht="12.75">
      <c r="A4" s="1341" t="s">
        <v>654</v>
      </c>
      <c r="B4" s="1341"/>
      <c r="C4" s="1341"/>
      <c r="D4" s="1341"/>
      <c r="E4" s="1341"/>
      <c r="F4" s="1341"/>
    </row>
    <row r="5" ht="12">
      <c r="F5" s="1342" t="s">
        <v>593</v>
      </c>
    </row>
    <row r="6" ht="12.75" thickBot="1">
      <c r="F6" s="1343"/>
    </row>
    <row r="7" spans="1:6" ht="12">
      <c r="A7" s="1338" t="s">
        <v>592</v>
      </c>
      <c r="B7" s="1280" t="s">
        <v>596</v>
      </c>
      <c r="C7" s="1276" t="s">
        <v>335</v>
      </c>
      <c r="D7" s="1344" t="s">
        <v>555</v>
      </c>
      <c r="E7" s="1344"/>
      <c r="F7" s="1345"/>
    </row>
    <row r="8" spans="1:6" ht="12">
      <c r="A8" s="1339"/>
      <c r="B8" s="1274"/>
      <c r="C8" s="1271"/>
      <c r="D8" s="1268" t="s">
        <v>230</v>
      </c>
      <c r="E8" s="526" t="s">
        <v>556</v>
      </c>
      <c r="F8" s="1270" t="s">
        <v>229</v>
      </c>
    </row>
    <row r="9" spans="1:6" ht="24">
      <c r="A9" s="1340"/>
      <c r="B9" s="1275"/>
      <c r="C9" s="1272"/>
      <c r="D9" s="1275"/>
      <c r="E9" s="526" t="s">
        <v>347</v>
      </c>
      <c r="F9" s="1315"/>
    </row>
    <row r="10" spans="1:6" ht="12.75" thickBot="1">
      <c r="A10" s="490">
        <v>1</v>
      </c>
      <c r="B10" s="922">
        <v>2</v>
      </c>
      <c r="C10" s="491">
        <v>3</v>
      </c>
      <c r="D10" s="527">
        <v>4</v>
      </c>
      <c r="E10" s="527">
        <v>5</v>
      </c>
      <c r="F10" s="528">
        <v>6</v>
      </c>
    </row>
    <row r="11" spans="1:6" ht="12">
      <c r="A11" s="17"/>
      <c r="B11" s="20"/>
      <c r="C11" s="20" t="s">
        <v>333</v>
      </c>
      <c r="D11" s="536"/>
      <c r="E11" s="536"/>
      <c r="F11" s="535" t="s">
        <v>333</v>
      </c>
    </row>
    <row r="12" spans="1:7" ht="12">
      <c r="A12" s="17">
        <v>1</v>
      </c>
      <c r="B12" s="98" t="s">
        <v>597</v>
      </c>
      <c r="C12" s="529">
        <f>SUM(C14+C24)</f>
        <v>706700</v>
      </c>
      <c r="D12" s="529">
        <f>SUM(D14+D24)</f>
        <v>706700</v>
      </c>
      <c r="E12" s="533">
        <f>SUM(E14+E24)</f>
        <v>72570</v>
      </c>
      <c r="F12" s="530">
        <f>SUM(F14+F24)</f>
        <v>0</v>
      </c>
      <c r="G12" s="58"/>
    </row>
    <row r="13" spans="1:6" ht="12">
      <c r="A13" s="17"/>
      <c r="B13" s="16"/>
      <c r="C13" s="129" t="s">
        <v>333</v>
      </c>
      <c r="D13" s="129" t="s">
        <v>333</v>
      </c>
      <c r="E13" s="49" t="s">
        <v>333</v>
      </c>
      <c r="F13" s="313" t="s">
        <v>333</v>
      </c>
    </row>
    <row r="14" spans="1:6" ht="12">
      <c r="A14" s="17">
        <v>2</v>
      </c>
      <c r="B14" s="98" t="s">
        <v>598</v>
      </c>
      <c r="C14" s="529">
        <f>SUM(C15:C22)</f>
        <v>418720</v>
      </c>
      <c r="D14" s="529">
        <f>SUM(D15:D22)</f>
        <v>418720</v>
      </c>
      <c r="E14" s="533">
        <f>SUM(E15:E22)</f>
        <v>46050</v>
      </c>
      <c r="F14" s="530">
        <f>SUM(F15:F22)</f>
        <v>0</v>
      </c>
    </row>
    <row r="15" spans="1:6" ht="12">
      <c r="A15" s="17"/>
      <c r="B15" s="16"/>
      <c r="C15" s="129"/>
      <c r="D15" s="49"/>
      <c r="E15" s="49"/>
      <c r="F15" s="313"/>
    </row>
    <row r="16" spans="1:6" ht="12">
      <c r="A16" s="17">
        <v>3</v>
      </c>
      <c r="B16" s="21" t="s">
        <v>599</v>
      </c>
      <c r="C16" s="130">
        <f>SUM(D16+F16)</f>
        <v>27330</v>
      </c>
      <c r="D16" s="130">
        <v>27330</v>
      </c>
      <c r="E16" s="139"/>
      <c r="F16" s="531"/>
    </row>
    <row r="17" spans="1:6" ht="12">
      <c r="A17" s="17">
        <v>4</v>
      </c>
      <c r="B17" s="21" t="s">
        <v>600</v>
      </c>
      <c r="C17" s="130">
        <f aca="true" t="shared" si="0" ref="C17:C22">SUM(D17+F17)</f>
        <v>55800</v>
      </c>
      <c r="D17" s="130">
        <f>50800+5000</f>
        <v>55800</v>
      </c>
      <c r="E17" s="139">
        <v>11000</v>
      </c>
      <c r="F17" s="531"/>
    </row>
    <row r="18" spans="1:6" ht="12">
      <c r="A18" s="17">
        <v>5</v>
      </c>
      <c r="B18" s="21" t="s">
        <v>624</v>
      </c>
      <c r="C18" s="130">
        <f t="shared" si="0"/>
        <v>89440</v>
      </c>
      <c r="D18" s="130">
        <v>89440</v>
      </c>
      <c r="E18" s="139">
        <v>30550</v>
      </c>
      <c r="F18" s="531"/>
    </row>
    <row r="19" spans="1:6" ht="12">
      <c r="A19" s="17">
        <v>6</v>
      </c>
      <c r="B19" s="21" t="s">
        <v>625</v>
      </c>
      <c r="C19" s="130">
        <f t="shared" si="0"/>
        <v>87950</v>
      </c>
      <c r="D19" s="130">
        <f>77950+10000</f>
        <v>87950</v>
      </c>
      <c r="E19" s="139"/>
      <c r="F19" s="531"/>
    </row>
    <row r="20" spans="1:6" ht="12">
      <c r="A20" s="17">
        <v>7</v>
      </c>
      <c r="B20" s="21" t="s">
        <v>357</v>
      </c>
      <c r="C20" s="130">
        <f t="shared" si="0"/>
        <v>41900</v>
      </c>
      <c r="D20" s="130">
        <v>41900</v>
      </c>
      <c r="E20" s="139"/>
      <c r="F20" s="531"/>
    </row>
    <row r="21" spans="1:6" ht="12">
      <c r="A21" s="17">
        <v>8</v>
      </c>
      <c r="B21" s="21" t="s">
        <v>358</v>
      </c>
      <c r="C21" s="130">
        <f t="shared" si="0"/>
        <v>46700</v>
      </c>
      <c r="D21" s="130">
        <v>46700</v>
      </c>
      <c r="E21" s="139"/>
      <c r="F21" s="531"/>
    </row>
    <row r="22" spans="1:6" ht="12">
      <c r="A22" s="17">
        <v>9</v>
      </c>
      <c r="B22" s="21" t="s">
        <v>359</v>
      </c>
      <c r="C22" s="130">
        <f t="shared" si="0"/>
        <v>69600</v>
      </c>
      <c r="D22" s="130">
        <v>69600</v>
      </c>
      <c r="E22" s="139">
        <v>4500</v>
      </c>
      <c r="F22" s="531"/>
    </row>
    <row r="23" spans="1:6" ht="12">
      <c r="A23" s="17"/>
      <c r="B23" s="16"/>
      <c r="C23" s="129"/>
      <c r="D23" s="49"/>
      <c r="E23" s="49"/>
      <c r="F23" s="313"/>
    </row>
    <row r="24" spans="1:6" ht="12">
      <c r="A24" s="17">
        <v>10</v>
      </c>
      <c r="B24" s="98" t="s">
        <v>626</v>
      </c>
      <c r="C24" s="529">
        <f>SUM(C26:C37)</f>
        <v>287980</v>
      </c>
      <c r="D24" s="529">
        <f>SUM(D26:D37)</f>
        <v>287980</v>
      </c>
      <c r="E24" s="533">
        <f>SUM(E26:E37)</f>
        <v>26520</v>
      </c>
      <c r="F24" s="530">
        <f>SUM(F26:F37)</f>
        <v>0</v>
      </c>
    </row>
    <row r="25" spans="1:6" ht="12">
      <c r="A25" s="17"/>
      <c r="B25" s="16"/>
      <c r="C25" s="129"/>
      <c r="D25" s="49"/>
      <c r="E25" s="49"/>
      <c r="F25" s="313"/>
    </row>
    <row r="26" spans="1:6" ht="12">
      <c r="A26" s="17">
        <v>11</v>
      </c>
      <c r="B26" s="21" t="s">
        <v>627</v>
      </c>
      <c r="C26" s="130">
        <f>SUM(D26+F26)</f>
        <v>20560</v>
      </c>
      <c r="D26" s="130">
        <v>20560</v>
      </c>
      <c r="E26" s="139"/>
      <c r="F26" s="531"/>
    </row>
    <row r="27" spans="1:6" ht="12">
      <c r="A27" s="17">
        <v>12</v>
      </c>
      <c r="B27" s="21" t="s">
        <v>628</v>
      </c>
      <c r="C27" s="130">
        <f aca="true" t="shared" si="1" ref="C27:C36">SUM(D27+F27)</f>
        <v>21700</v>
      </c>
      <c r="D27" s="130">
        <v>21700</v>
      </c>
      <c r="E27" s="139"/>
      <c r="F27" s="531"/>
    </row>
    <row r="28" spans="1:6" ht="12">
      <c r="A28" s="17">
        <v>13</v>
      </c>
      <c r="B28" s="21" t="s">
        <v>629</v>
      </c>
      <c r="C28" s="130">
        <f t="shared" si="1"/>
        <v>9800</v>
      </c>
      <c r="D28" s="130">
        <v>9800</v>
      </c>
      <c r="E28" s="139"/>
      <c r="F28" s="531"/>
    </row>
    <row r="29" spans="1:6" ht="12">
      <c r="A29" s="17">
        <v>14</v>
      </c>
      <c r="B29" s="21" t="s">
        <v>630</v>
      </c>
      <c r="C29" s="130">
        <f t="shared" si="1"/>
        <v>51320</v>
      </c>
      <c r="D29" s="130">
        <v>51320</v>
      </c>
      <c r="E29" s="139">
        <v>17320</v>
      </c>
      <c r="F29" s="531"/>
    </row>
    <row r="30" spans="1:6" ht="12">
      <c r="A30" s="17">
        <v>15</v>
      </c>
      <c r="B30" s="21" t="s">
        <v>631</v>
      </c>
      <c r="C30" s="130">
        <f t="shared" si="1"/>
        <v>13000</v>
      </c>
      <c r="D30" s="130">
        <v>13000</v>
      </c>
      <c r="E30" s="139"/>
      <c r="F30" s="531"/>
    </row>
    <row r="31" spans="1:6" ht="12">
      <c r="A31" s="17">
        <v>16</v>
      </c>
      <c r="B31" s="21" t="s">
        <v>632</v>
      </c>
      <c r="C31" s="130">
        <f t="shared" si="1"/>
        <v>5000</v>
      </c>
      <c r="D31" s="130">
        <v>5000</v>
      </c>
      <c r="E31" s="139"/>
      <c r="F31" s="531"/>
    </row>
    <row r="32" spans="1:6" ht="12">
      <c r="A32" s="17">
        <v>17</v>
      </c>
      <c r="B32" s="21" t="s">
        <v>633</v>
      </c>
      <c r="C32" s="130">
        <f t="shared" si="1"/>
        <v>46550</v>
      </c>
      <c r="D32" s="130">
        <v>46550</v>
      </c>
      <c r="E32" s="139">
        <v>5000</v>
      </c>
      <c r="F32" s="531"/>
    </row>
    <row r="33" spans="1:6" ht="12">
      <c r="A33" s="17">
        <v>18</v>
      </c>
      <c r="B33" s="21" t="s">
        <v>634</v>
      </c>
      <c r="C33" s="130">
        <f t="shared" si="1"/>
        <v>20150</v>
      </c>
      <c r="D33" s="130">
        <v>20150</v>
      </c>
      <c r="E33" s="139">
        <v>4200</v>
      </c>
      <c r="F33" s="531"/>
    </row>
    <row r="34" spans="1:6" ht="12">
      <c r="A34" s="17">
        <v>19</v>
      </c>
      <c r="B34" s="21" t="s">
        <v>635</v>
      </c>
      <c r="C34" s="130">
        <f t="shared" si="1"/>
        <v>54550</v>
      </c>
      <c r="D34" s="130">
        <v>54550</v>
      </c>
      <c r="E34" s="139"/>
      <c r="F34" s="531"/>
    </row>
    <row r="35" spans="1:6" ht="12">
      <c r="A35" s="17">
        <v>20</v>
      </c>
      <c r="B35" s="21" t="s">
        <v>636</v>
      </c>
      <c r="C35" s="130">
        <f t="shared" si="1"/>
        <v>9750</v>
      </c>
      <c r="D35" s="130">
        <v>9750</v>
      </c>
      <c r="E35" s="139"/>
      <c r="F35" s="531"/>
    </row>
    <row r="36" spans="1:6" ht="12">
      <c r="A36" s="17">
        <v>21</v>
      </c>
      <c r="B36" s="21" t="s">
        <v>637</v>
      </c>
      <c r="C36" s="130">
        <f t="shared" si="1"/>
        <v>24800</v>
      </c>
      <c r="D36" s="130">
        <v>24800</v>
      </c>
      <c r="E36" s="139"/>
      <c r="F36" s="531"/>
    </row>
    <row r="37" spans="1:6" ht="12.75" thickBot="1">
      <c r="A37" s="18">
        <v>22</v>
      </c>
      <c r="B37" s="22" t="s">
        <v>638</v>
      </c>
      <c r="C37" s="140">
        <f>SUM(D37+F37)</f>
        <v>10800</v>
      </c>
      <c r="D37" s="140">
        <v>10800</v>
      </c>
      <c r="E37" s="534"/>
      <c r="F37" s="532"/>
    </row>
    <row r="38" spans="1:6" ht="12">
      <c r="A38" s="12"/>
      <c r="B38" s="12"/>
      <c r="C38" s="12"/>
      <c r="D38" s="12"/>
      <c r="E38" s="12"/>
      <c r="F38" s="12"/>
    </row>
    <row r="39" ht="20.25">
      <c r="C39" s="602"/>
    </row>
  </sheetData>
  <mergeCells count="9">
    <mergeCell ref="B7:B9"/>
    <mergeCell ref="A7:A9"/>
    <mergeCell ref="A3:F3"/>
    <mergeCell ref="A4:F4"/>
    <mergeCell ref="F5:F6"/>
    <mergeCell ref="C7:C9"/>
    <mergeCell ref="D7:F7"/>
    <mergeCell ref="D8:D9"/>
    <mergeCell ref="F8:F9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20"/>
  <sheetViews>
    <sheetView showGridLines="0" view="pageBreakPreview" zoomScaleSheetLayoutView="100" workbookViewId="0" topLeftCell="A1">
      <selection activeCell="H28" sqref="H28"/>
    </sheetView>
  </sheetViews>
  <sheetFormatPr defaultColWidth="9.00390625" defaultRowHeight="12"/>
  <cols>
    <col min="1" max="1" width="3.375" style="10" bestFit="1" customWidth="1"/>
    <col min="2" max="2" width="25.875" style="10" customWidth="1"/>
    <col min="3" max="4" width="9.375" style="10" bestFit="1" customWidth="1"/>
    <col min="5" max="5" width="27.125" style="65" customWidth="1"/>
    <col min="6" max="6" width="15.75390625" style="65" customWidth="1"/>
    <col min="7" max="8" width="15.75390625" style="10" customWidth="1"/>
    <col min="9" max="9" width="15.875" style="10" bestFit="1" customWidth="1"/>
    <col min="10" max="10" width="21.625" style="10" customWidth="1"/>
    <col min="11" max="11" width="9.125" style="10" customWidth="1"/>
    <col min="12" max="12" width="10.125" style="10" bestFit="1" customWidth="1"/>
    <col min="13" max="16384" width="9.125" style="10" customWidth="1"/>
  </cols>
  <sheetData>
    <row r="1" spans="9:10" ht="47.25" customHeight="1">
      <c r="I1" s="1316" t="s">
        <v>70</v>
      </c>
      <c r="J1" s="1316"/>
    </row>
    <row r="3" spans="1:10" ht="15.75" customHeight="1">
      <c r="A3" s="1346" t="s">
        <v>215</v>
      </c>
      <c r="B3" s="1346"/>
      <c r="C3" s="1346"/>
      <c r="D3" s="1346"/>
      <c r="E3" s="1346"/>
      <c r="F3" s="1346"/>
      <c r="G3" s="1346"/>
      <c r="H3" s="1346"/>
      <c r="I3" s="1346"/>
      <c r="J3" s="1346"/>
    </row>
    <row r="5" spans="3:10" s="330" customFormat="1" ht="18" customHeight="1" thickBot="1">
      <c r="C5" s="219"/>
      <c r="D5" s="10"/>
      <c r="E5" s="65"/>
      <c r="F5" s="65"/>
      <c r="G5" s="10"/>
      <c r="H5" s="10"/>
      <c r="I5" s="10"/>
      <c r="J5" s="329" t="s">
        <v>593</v>
      </c>
    </row>
    <row r="6" spans="1:10" ht="15" customHeight="1">
      <c r="A6" s="1349" t="s">
        <v>595</v>
      </c>
      <c r="B6" s="1273" t="s">
        <v>244</v>
      </c>
      <c r="C6" s="1273" t="s">
        <v>375</v>
      </c>
      <c r="D6" s="1344" t="s">
        <v>394</v>
      </c>
      <c r="E6" s="1344" t="s">
        <v>257</v>
      </c>
      <c r="F6" s="1344" t="s">
        <v>200</v>
      </c>
      <c r="G6" s="1344" t="s">
        <v>191</v>
      </c>
      <c r="H6" s="1280" t="s">
        <v>430</v>
      </c>
      <c r="I6" s="417" t="s">
        <v>556</v>
      </c>
      <c r="J6" s="1345" t="s">
        <v>202</v>
      </c>
    </row>
    <row r="7" spans="1:10" ht="24" customHeight="1">
      <c r="A7" s="1350"/>
      <c r="B7" s="1347"/>
      <c r="C7" s="1347"/>
      <c r="D7" s="1269"/>
      <c r="E7" s="1269"/>
      <c r="F7" s="1269"/>
      <c r="G7" s="1269"/>
      <c r="H7" s="1275"/>
      <c r="I7" s="455" t="s">
        <v>381</v>
      </c>
      <c r="J7" s="1348"/>
    </row>
    <row r="8" spans="1:10" s="331" customFormat="1" ht="12.75" thickBot="1">
      <c r="A8" s="936">
        <v>1</v>
      </c>
      <c r="B8" s="501">
        <v>2</v>
      </c>
      <c r="C8" s="501">
        <v>3</v>
      </c>
      <c r="D8" s="502">
        <v>4</v>
      </c>
      <c r="E8" s="502">
        <v>5</v>
      </c>
      <c r="F8" s="502">
        <v>6</v>
      </c>
      <c r="G8" s="502">
        <v>7</v>
      </c>
      <c r="H8" s="502">
        <v>8</v>
      </c>
      <c r="I8" s="502">
        <v>9</v>
      </c>
      <c r="J8" s="503">
        <v>10</v>
      </c>
    </row>
    <row r="9" spans="1:10" s="12" customFormat="1" ht="24">
      <c r="A9" s="937">
        <v>1</v>
      </c>
      <c r="B9" s="551" t="s">
        <v>245</v>
      </c>
      <c r="C9" s="554">
        <v>852</v>
      </c>
      <c r="D9" s="332"/>
      <c r="E9" s="333" t="s">
        <v>164</v>
      </c>
      <c r="F9" s="548">
        <f>SUM(F10)</f>
        <v>0</v>
      </c>
      <c r="G9" s="548">
        <f>SUM(G10)</f>
        <v>6000</v>
      </c>
      <c r="H9" s="548">
        <f>SUM(H10)</f>
        <v>6000</v>
      </c>
      <c r="I9" s="548">
        <f>SUM(I10)</f>
        <v>0</v>
      </c>
      <c r="J9" s="549">
        <f>SUM(J10)</f>
        <v>0</v>
      </c>
    </row>
    <row r="10" spans="1:10" s="12" customFormat="1" ht="36.75" customHeight="1">
      <c r="A10" s="938"/>
      <c r="B10" s="550"/>
      <c r="C10" s="555"/>
      <c r="D10" s="542">
        <v>85295</v>
      </c>
      <c r="E10" s="543" t="s">
        <v>407</v>
      </c>
      <c r="F10" s="544">
        <v>0</v>
      </c>
      <c r="G10" s="545">
        <v>6000</v>
      </c>
      <c r="H10" s="546">
        <v>6000</v>
      </c>
      <c r="I10" s="546">
        <v>0</v>
      </c>
      <c r="J10" s="547">
        <v>0</v>
      </c>
    </row>
    <row r="11" spans="1:10" s="12" customFormat="1" ht="24">
      <c r="A11" s="939">
        <v>2</v>
      </c>
      <c r="B11" s="621" t="s">
        <v>246</v>
      </c>
      <c r="C11" s="554">
        <v>926</v>
      </c>
      <c r="D11" s="332"/>
      <c r="E11" s="333" t="s">
        <v>565</v>
      </c>
      <c r="F11" s="548">
        <f>SUM(F12)</f>
        <v>0</v>
      </c>
      <c r="G11" s="548">
        <f>SUM(G12)</f>
        <v>532000</v>
      </c>
      <c r="H11" s="548">
        <f>SUM(H12)</f>
        <v>532000</v>
      </c>
      <c r="I11" s="548">
        <f>SUM(I12)</f>
        <v>0</v>
      </c>
      <c r="J11" s="549">
        <f>SUM(J12)</f>
        <v>0</v>
      </c>
    </row>
    <row r="12" spans="1:10" s="12" customFormat="1" ht="36.75" customHeight="1" thickBot="1">
      <c r="A12" s="940"/>
      <c r="B12" s="622"/>
      <c r="C12" s="623"/>
      <c r="D12" s="624">
        <v>92604</v>
      </c>
      <c r="E12" s="625" t="s">
        <v>664</v>
      </c>
      <c r="F12" s="626">
        <v>0</v>
      </c>
      <c r="G12" s="627">
        <v>532000</v>
      </c>
      <c r="H12" s="627">
        <v>532000</v>
      </c>
      <c r="I12" s="628">
        <v>0</v>
      </c>
      <c r="J12" s="629">
        <v>0</v>
      </c>
    </row>
    <row r="13" spans="1:10" s="404" customFormat="1" ht="27" customHeight="1" thickBot="1">
      <c r="A13" s="1351" t="s">
        <v>566</v>
      </c>
      <c r="B13" s="1352"/>
      <c r="C13" s="1352"/>
      <c r="D13" s="1352"/>
      <c r="E13" s="1353"/>
      <c r="F13" s="552">
        <f>SUM(F9+F11)</f>
        <v>0</v>
      </c>
      <c r="G13" s="552">
        <f>SUM(G9+G11)</f>
        <v>538000</v>
      </c>
      <c r="H13" s="552">
        <f>SUM(H9+H11)</f>
        <v>538000</v>
      </c>
      <c r="I13" s="552">
        <f>SUM(I9+I11)</f>
        <v>0</v>
      </c>
      <c r="J13" s="553">
        <f>SUM(J9+J11)</f>
        <v>0</v>
      </c>
    </row>
    <row r="14" ht="12">
      <c r="G14" s="66"/>
    </row>
    <row r="15" ht="12">
      <c r="G15" s="66"/>
    </row>
    <row r="16" ht="12">
      <c r="G16" s="66"/>
    </row>
    <row r="17" spans="3:10" ht="15.75">
      <c r="C17" s="1346"/>
      <c r="D17" s="1346"/>
      <c r="E17" s="1346"/>
      <c r="F17" s="1346"/>
      <c r="G17" s="1346"/>
      <c r="H17" s="1346"/>
      <c r="I17" s="1346"/>
      <c r="J17" s="1346"/>
    </row>
    <row r="18" ht="12">
      <c r="G18" s="66"/>
    </row>
    <row r="19" ht="12">
      <c r="G19" s="66"/>
    </row>
    <row r="20" ht="12">
      <c r="G20" s="66"/>
    </row>
  </sheetData>
  <mergeCells count="13">
    <mergeCell ref="A6:A7"/>
    <mergeCell ref="B6:B7"/>
    <mergeCell ref="A13:E13"/>
    <mergeCell ref="A3:J3"/>
    <mergeCell ref="C17:J17"/>
    <mergeCell ref="H6:H7"/>
    <mergeCell ref="I1:J1"/>
    <mergeCell ref="C6:C7"/>
    <mergeCell ref="D6:D7"/>
    <mergeCell ref="J6:J7"/>
    <mergeCell ref="E6:E7"/>
    <mergeCell ref="F6:F7"/>
    <mergeCell ref="G6:G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203"/>
  <sheetViews>
    <sheetView showGridLines="0" view="pageBreakPreview" zoomScaleSheetLayoutView="100" workbookViewId="0" topLeftCell="D1">
      <selection activeCell="A4" sqref="A4:P4"/>
    </sheetView>
  </sheetViews>
  <sheetFormatPr defaultColWidth="9.00390625" defaultRowHeight="12"/>
  <cols>
    <col min="1" max="1" width="7.75390625" style="100" bestFit="1" customWidth="1"/>
    <col min="2" max="2" width="34.375" style="100" customWidth="1"/>
    <col min="3" max="4" width="9.375" style="100" bestFit="1" customWidth="1"/>
    <col min="5" max="5" width="15.125" style="100" bestFit="1" customWidth="1"/>
    <col min="6" max="6" width="13.625" style="100" customWidth="1"/>
    <col min="7" max="7" width="13.375" style="100" customWidth="1"/>
    <col min="8" max="8" width="15.25390625" style="100" customWidth="1"/>
    <col min="9" max="9" width="15.00390625" style="100" customWidth="1"/>
    <col min="10" max="10" width="12.75390625" style="100" customWidth="1"/>
    <col min="11" max="11" width="12.375" style="100" bestFit="1" customWidth="1"/>
    <col min="12" max="12" width="14.125" style="100" bestFit="1" customWidth="1"/>
    <col min="13" max="13" width="14.375" style="100" customWidth="1"/>
    <col min="14" max="14" width="14.125" style="100" customWidth="1"/>
    <col min="15" max="15" width="12.625" style="100" bestFit="1" customWidth="1"/>
    <col min="16" max="16" width="11.625" style="100" customWidth="1"/>
    <col min="17" max="16384" width="9.125" style="100" customWidth="1"/>
  </cols>
  <sheetData>
    <row r="1" spans="8:15" ht="12">
      <c r="H1" s="100" t="s">
        <v>2</v>
      </c>
      <c r="L1" s="69"/>
      <c r="O1" s="70" t="s">
        <v>204</v>
      </c>
    </row>
    <row r="2" spans="12:16" ht="33.75" customHeight="1">
      <c r="L2" s="69"/>
      <c r="O2" s="1359" t="s">
        <v>62</v>
      </c>
      <c r="P2" s="1359"/>
    </row>
    <row r="4" spans="1:16" ht="15.75">
      <c r="A4" s="1354" t="s">
        <v>216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</row>
    <row r="5" spans="1:16" ht="14.25" customHeight="1" thickBot="1">
      <c r="A5" s="101"/>
      <c r="E5" s="1236"/>
      <c r="L5" s="1235"/>
      <c r="M5" s="102"/>
      <c r="N5" s="376"/>
      <c r="O5" s="376"/>
      <c r="P5" s="376" t="s">
        <v>593</v>
      </c>
    </row>
    <row r="6" spans="1:16" ht="14.25" customHeight="1">
      <c r="A6" s="1374" t="s">
        <v>595</v>
      </c>
      <c r="B6" s="1376" t="s">
        <v>665</v>
      </c>
      <c r="C6" s="1378" t="s">
        <v>375</v>
      </c>
      <c r="D6" s="1368" t="s">
        <v>394</v>
      </c>
      <c r="E6" s="1362" t="s">
        <v>300</v>
      </c>
      <c r="F6" s="1364" t="s">
        <v>178</v>
      </c>
      <c r="G6" s="1360" t="s">
        <v>555</v>
      </c>
      <c r="H6" s="1360"/>
      <c r="I6" s="1360"/>
      <c r="J6" s="1360"/>
      <c r="K6" s="1361"/>
      <c r="L6" s="1362" t="s">
        <v>430</v>
      </c>
      <c r="M6" s="1368" t="s">
        <v>555</v>
      </c>
      <c r="N6" s="1369"/>
      <c r="O6" s="1370"/>
      <c r="P6" s="1401" t="s">
        <v>301</v>
      </c>
    </row>
    <row r="7" spans="1:16" ht="14.25" customHeight="1">
      <c r="A7" s="1375"/>
      <c r="B7" s="1377"/>
      <c r="C7" s="1379"/>
      <c r="D7" s="1367"/>
      <c r="E7" s="1363"/>
      <c r="F7" s="1365"/>
      <c r="G7" s="1373" t="s">
        <v>34</v>
      </c>
      <c r="H7" s="1373" t="s">
        <v>557</v>
      </c>
      <c r="I7" s="1371" t="s">
        <v>555</v>
      </c>
      <c r="J7" s="1371"/>
      <c r="K7" s="1372"/>
      <c r="L7" s="1363"/>
      <c r="M7" s="1366" t="s">
        <v>363</v>
      </c>
      <c r="N7" s="860"/>
      <c r="O7" s="860"/>
      <c r="P7" s="1402"/>
    </row>
    <row r="8" spans="1:16" ht="48">
      <c r="A8" s="1375"/>
      <c r="B8" s="1377"/>
      <c r="C8" s="1379"/>
      <c r="D8" s="1367"/>
      <c r="E8" s="1363"/>
      <c r="F8" s="1365"/>
      <c r="G8" s="1373"/>
      <c r="H8" s="1373"/>
      <c r="I8" s="840" t="s">
        <v>56</v>
      </c>
      <c r="J8" s="840" t="s">
        <v>162</v>
      </c>
      <c r="K8" s="841" t="s">
        <v>451</v>
      </c>
      <c r="L8" s="1363"/>
      <c r="M8" s="1367"/>
      <c r="N8" s="861" t="s">
        <v>364</v>
      </c>
      <c r="O8" s="861" t="s">
        <v>381</v>
      </c>
      <c r="P8" s="1402"/>
    </row>
    <row r="9" spans="1:16" ht="12.75" thickBot="1">
      <c r="A9" s="833">
        <v>1</v>
      </c>
      <c r="B9" s="839">
        <v>2</v>
      </c>
      <c r="C9" s="838">
        <v>3</v>
      </c>
      <c r="D9" s="837">
        <v>4</v>
      </c>
      <c r="E9" s="833">
        <v>5</v>
      </c>
      <c r="F9" s="834">
        <v>6</v>
      </c>
      <c r="G9" s="835">
        <v>7</v>
      </c>
      <c r="H9" s="834">
        <v>8</v>
      </c>
      <c r="I9" s="504">
        <v>9</v>
      </c>
      <c r="J9" s="504">
        <v>10</v>
      </c>
      <c r="K9" s="836">
        <v>11</v>
      </c>
      <c r="L9" s="833">
        <v>12</v>
      </c>
      <c r="M9" s="1223">
        <v>13</v>
      </c>
      <c r="N9" s="504">
        <v>14</v>
      </c>
      <c r="O9" s="504">
        <v>15</v>
      </c>
      <c r="P9" s="505">
        <v>16</v>
      </c>
    </row>
    <row r="10" spans="1:16" ht="12" customHeight="1">
      <c r="A10" s="1416" t="s">
        <v>639</v>
      </c>
      <c r="B10" s="1417" t="s">
        <v>576</v>
      </c>
      <c r="C10" s="1420" t="s">
        <v>393</v>
      </c>
      <c r="D10" s="1421"/>
      <c r="E10" s="172">
        <f>SUM(E11:E15)</f>
        <v>649020</v>
      </c>
      <c r="F10" s="103">
        <f aca="true" t="shared" si="0" ref="F10:N10">SUM(F11:F15)</f>
        <v>17138559</v>
      </c>
      <c r="G10" s="104">
        <f t="shared" si="0"/>
        <v>17138559</v>
      </c>
      <c r="H10" s="104">
        <f t="shared" si="0"/>
        <v>0</v>
      </c>
      <c r="I10" s="104">
        <f t="shared" si="0"/>
        <v>0</v>
      </c>
      <c r="J10" s="104">
        <f t="shared" si="0"/>
        <v>0</v>
      </c>
      <c r="K10" s="173">
        <f t="shared" si="0"/>
        <v>0</v>
      </c>
      <c r="L10" s="170">
        <f t="shared" si="0"/>
        <v>17080369</v>
      </c>
      <c r="M10" s="865">
        <f t="shared" si="0"/>
        <v>17080369</v>
      </c>
      <c r="N10" s="170">
        <f t="shared" si="0"/>
        <v>0</v>
      </c>
      <c r="O10" s="290"/>
      <c r="P10" s="291">
        <f>SUM(P11:P15)</f>
        <v>707210</v>
      </c>
    </row>
    <row r="11" spans="1:16" ht="12">
      <c r="A11" s="1384"/>
      <c r="B11" s="1418"/>
      <c r="C11" s="106">
        <v>400</v>
      </c>
      <c r="D11" s="107">
        <v>40002</v>
      </c>
      <c r="E11" s="174">
        <v>406928</v>
      </c>
      <c r="F11" s="109">
        <f>SUM(G11:H11)</f>
        <v>7375502</v>
      </c>
      <c r="G11" s="166">
        <v>7375502</v>
      </c>
      <c r="H11" s="24">
        <f>SUM(I11:K11)</f>
        <v>0</v>
      </c>
      <c r="I11" s="24">
        <v>0</v>
      </c>
      <c r="J11" s="24">
        <v>0</v>
      </c>
      <c r="K11" s="158">
        <v>0</v>
      </c>
      <c r="L11" s="163">
        <f>SUM(E11+F11-P11)</f>
        <v>7317312</v>
      </c>
      <c r="M11" s="862">
        <v>7317312</v>
      </c>
      <c r="N11" s="110"/>
      <c r="O11" s="110"/>
      <c r="P11" s="111">
        <v>465118</v>
      </c>
    </row>
    <row r="12" spans="1:16" ht="12">
      <c r="A12" s="1384"/>
      <c r="B12" s="1418"/>
      <c r="C12" s="106">
        <v>600</v>
      </c>
      <c r="D12" s="112">
        <v>60014</v>
      </c>
      <c r="E12" s="174">
        <v>16382</v>
      </c>
      <c r="F12" s="109">
        <f>SUM(G12:H12)</f>
        <v>575402</v>
      </c>
      <c r="G12" s="166">
        <v>575402</v>
      </c>
      <c r="H12" s="24">
        <f>SUM(I12:K12)</f>
        <v>0</v>
      </c>
      <c r="I12" s="24">
        <v>0</v>
      </c>
      <c r="J12" s="24">
        <v>0</v>
      </c>
      <c r="K12" s="158">
        <v>0</v>
      </c>
      <c r="L12" s="163">
        <f>SUM(E12+F12-P12)</f>
        <v>575402</v>
      </c>
      <c r="M12" s="862">
        <v>575402</v>
      </c>
      <c r="N12" s="110"/>
      <c r="O12" s="110"/>
      <c r="P12" s="111">
        <v>16382</v>
      </c>
    </row>
    <row r="13" spans="1:16" ht="12">
      <c r="A13" s="1384"/>
      <c r="B13" s="1418"/>
      <c r="C13" s="106">
        <v>600</v>
      </c>
      <c r="D13" s="112">
        <v>60016</v>
      </c>
      <c r="E13" s="174">
        <v>12322</v>
      </c>
      <c r="F13" s="109">
        <f>SUM(G13:H13)</f>
        <v>554599</v>
      </c>
      <c r="G13" s="166">
        <v>554599</v>
      </c>
      <c r="H13" s="24">
        <f>SUM(I13:K13)</f>
        <v>0</v>
      </c>
      <c r="I13" s="24">
        <v>0</v>
      </c>
      <c r="J13" s="24">
        <v>0</v>
      </c>
      <c r="K13" s="158">
        <v>0</v>
      </c>
      <c r="L13" s="163">
        <f>SUM(E13+F13-P13)</f>
        <v>554599</v>
      </c>
      <c r="M13" s="862">
        <v>554599</v>
      </c>
      <c r="N13" s="110"/>
      <c r="O13" s="110"/>
      <c r="P13" s="111">
        <v>12322</v>
      </c>
    </row>
    <row r="14" spans="1:16" ht="12">
      <c r="A14" s="1384"/>
      <c r="B14" s="1418"/>
      <c r="C14" s="106">
        <v>900</v>
      </c>
      <c r="D14" s="112">
        <v>90001</v>
      </c>
      <c r="E14" s="174">
        <v>204248</v>
      </c>
      <c r="F14" s="109">
        <f>SUM(G14:H14)</f>
        <v>8532360</v>
      </c>
      <c r="G14" s="166">
        <v>8532360</v>
      </c>
      <c r="H14" s="24">
        <f>SUM(I14:K14)</f>
        <v>0</v>
      </c>
      <c r="I14" s="24">
        <v>0</v>
      </c>
      <c r="J14" s="24">
        <v>0</v>
      </c>
      <c r="K14" s="158">
        <v>0</v>
      </c>
      <c r="L14" s="163">
        <f>SUM(E14+F14-P14)</f>
        <v>8532360</v>
      </c>
      <c r="M14" s="862">
        <v>8532360</v>
      </c>
      <c r="N14" s="110"/>
      <c r="O14" s="110"/>
      <c r="P14" s="111">
        <v>204248</v>
      </c>
    </row>
    <row r="15" spans="1:16" ht="12.75" thickBot="1">
      <c r="A15" s="1387"/>
      <c r="B15" s="1419"/>
      <c r="C15" s="113">
        <v>900</v>
      </c>
      <c r="D15" s="114">
        <v>90095</v>
      </c>
      <c r="E15" s="175">
        <v>9140</v>
      </c>
      <c r="F15" s="115">
        <f>SUM(G15:H15)</f>
        <v>100696</v>
      </c>
      <c r="G15" s="292">
        <v>100696</v>
      </c>
      <c r="H15" s="25">
        <f>SUM(I15:K15)</f>
        <v>0</v>
      </c>
      <c r="I15" s="25">
        <v>0</v>
      </c>
      <c r="J15" s="25">
        <v>0</v>
      </c>
      <c r="K15" s="159">
        <v>0</v>
      </c>
      <c r="L15" s="164">
        <f>SUM(E15+F15-P15)</f>
        <v>100696</v>
      </c>
      <c r="M15" s="863">
        <v>100696</v>
      </c>
      <c r="N15" s="203"/>
      <c r="O15" s="203"/>
      <c r="P15" s="116">
        <v>9140</v>
      </c>
    </row>
    <row r="16" spans="1:16" ht="12" customHeight="1">
      <c r="A16" s="1405" t="s">
        <v>640</v>
      </c>
      <c r="B16" s="1407" t="s">
        <v>577</v>
      </c>
      <c r="C16" s="1410" t="s">
        <v>393</v>
      </c>
      <c r="D16" s="1411"/>
      <c r="E16" s="864">
        <f aca="true" t="shared" si="1" ref="E16:O16">SUM(E17:E21)</f>
        <v>512477</v>
      </c>
      <c r="F16" s="865">
        <f t="shared" si="1"/>
        <v>22581023</v>
      </c>
      <c r="G16" s="866">
        <f t="shared" si="1"/>
        <v>15625488</v>
      </c>
      <c r="H16" s="865">
        <f t="shared" si="1"/>
        <v>6955535</v>
      </c>
      <c r="I16" s="865">
        <f t="shared" si="1"/>
        <v>0</v>
      </c>
      <c r="J16" s="865">
        <f t="shared" si="1"/>
        <v>2655535</v>
      </c>
      <c r="K16" s="646">
        <f t="shared" si="1"/>
        <v>4300000</v>
      </c>
      <c r="L16" s="170">
        <f t="shared" si="1"/>
        <v>22581023</v>
      </c>
      <c r="M16" s="867">
        <f t="shared" si="1"/>
        <v>18281023</v>
      </c>
      <c r="N16" s="103">
        <f t="shared" si="1"/>
        <v>4300000</v>
      </c>
      <c r="O16" s="865">
        <f t="shared" si="1"/>
        <v>0</v>
      </c>
      <c r="P16" s="868">
        <f>SUM(P17:P21)</f>
        <v>512477</v>
      </c>
    </row>
    <row r="17" spans="1:16" ht="12">
      <c r="A17" s="1406"/>
      <c r="B17" s="1408"/>
      <c r="C17" s="106">
        <v>700</v>
      </c>
      <c r="D17" s="107">
        <v>70001</v>
      </c>
      <c r="E17" s="174">
        <v>512477</v>
      </c>
      <c r="F17" s="109">
        <f aca="true" t="shared" si="2" ref="F17:F22">SUM(G17:H17)</f>
        <v>20129773</v>
      </c>
      <c r="G17" s="166">
        <v>13329773</v>
      </c>
      <c r="H17" s="24">
        <f aca="true" t="shared" si="3" ref="H17:H22">SUM(I17:K17)</f>
        <v>6800000</v>
      </c>
      <c r="I17" s="24"/>
      <c r="J17" s="24">
        <v>2500000</v>
      </c>
      <c r="K17" s="229">
        <f>2480000+1820000</f>
        <v>4300000</v>
      </c>
      <c r="L17" s="180">
        <f aca="true" t="shared" si="4" ref="L17:L22">SUM(E17+F17-P17)</f>
        <v>20129773</v>
      </c>
      <c r="M17" s="869">
        <v>15829773</v>
      </c>
      <c r="N17" s="870">
        <v>4300000</v>
      </c>
      <c r="O17" s="110"/>
      <c r="P17" s="111">
        <v>512477</v>
      </c>
    </row>
    <row r="18" spans="1:16" ht="11.25" customHeight="1">
      <c r="A18" s="1406"/>
      <c r="B18" s="1408"/>
      <c r="C18" s="106">
        <v>700</v>
      </c>
      <c r="D18" s="107">
        <v>70095</v>
      </c>
      <c r="E18" s="293">
        <v>0</v>
      </c>
      <c r="F18" s="109">
        <f t="shared" si="2"/>
        <v>461200</v>
      </c>
      <c r="G18" s="166">
        <v>461200</v>
      </c>
      <c r="H18" s="24">
        <f t="shared" si="3"/>
        <v>0</v>
      </c>
      <c r="I18" s="24"/>
      <c r="J18" s="24"/>
      <c r="K18" s="158"/>
      <c r="L18" s="163">
        <f t="shared" si="4"/>
        <v>461200</v>
      </c>
      <c r="M18" s="862">
        <v>461200</v>
      </c>
      <c r="N18" s="110"/>
      <c r="O18" s="110"/>
      <c r="P18" s="111"/>
    </row>
    <row r="19" spans="1:16" ht="12">
      <c r="A19" s="1406"/>
      <c r="B19" s="1408"/>
      <c r="C19" s="106">
        <v>900</v>
      </c>
      <c r="D19" s="107">
        <v>90003</v>
      </c>
      <c r="E19" s="293">
        <v>0</v>
      </c>
      <c r="F19" s="109">
        <f t="shared" si="2"/>
        <v>171925</v>
      </c>
      <c r="G19" s="166">
        <v>171925</v>
      </c>
      <c r="H19" s="24">
        <f t="shared" si="3"/>
        <v>0</v>
      </c>
      <c r="I19" s="24"/>
      <c r="J19" s="24"/>
      <c r="K19" s="158"/>
      <c r="L19" s="163">
        <f t="shared" si="4"/>
        <v>171925</v>
      </c>
      <c r="M19" s="862">
        <v>171925</v>
      </c>
      <c r="N19" s="110"/>
      <c r="O19" s="110"/>
      <c r="P19" s="111">
        <v>0</v>
      </c>
    </row>
    <row r="20" spans="1:16" ht="12">
      <c r="A20" s="1406"/>
      <c r="B20" s="1408"/>
      <c r="C20" s="106">
        <v>900</v>
      </c>
      <c r="D20" s="107">
        <v>90015</v>
      </c>
      <c r="E20" s="293">
        <v>0</v>
      </c>
      <c r="F20" s="109">
        <f t="shared" si="2"/>
        <v>1227683</v>
      </c>
      <c r="G20" s="166">
        <v>1227683</v>
      </c>
      <c r="H20" s="24">
        <f t="shared" si="3"/>
        <v>0</v>
      </c>
      <c r="I20" s="24"/>
      <c r="J20" s="24"/>
      <c r="K20" s="158"/>
      <c r="L20" s="163">
        <f t="shared" si="4"/>
        <v>1227683</v>
      </c>
      <c r="M20" s="862">
        <v>1227683</v>
      </c>
      <c r="N20" s="110"/>
      <c r="O20" s="110"/>
      <c r="P20" s="111">
        <v>0</v>
      </c>
    </row>
    <row r="21" spans="1:16" ht="12.75" thickBot="1">
      <c r="A21" s="1383"/>
      <c r="B21" s="1409"/>
      <c r="C21" s="181">
        <v>900</v>
      </c>
      <c r="D21" s="182">
        <v>90095</v>
      </c>
      <c r="E21" s="307">
        <v>0</v>
      </c>
      <c r="F21" s="115">
        <f t="shared" si="2"/>
        <v>590442</v>
      </c>
      <c r="G21" s="292">
        <v>434907</v>
      </c>
      <c r="H21" s="24">
        <f t="shared" si="3"/>
        <v>155535</v>
      </c>
      <c r="I21" s="25"/>
      <c r="J21" s="25">
        <v>155535</v>
      </c>
      <c r="K21" s="159"/>
      <c r="L21" s="163">
        <f t="shared" si="4"/>
        <v>590442</v>
      </c>
      <c r="M21" s="871">
        <v>590442</v>
      </c>
      <c r="N21" s="295"/>
      <c r="O21" s="295"/>
      <c r="P21" s="296">
        <v>0</v>
      </c>
    </row>
    <row r="22" spans="1:16" ht="46.5" customHeight="1" thickBot="1">
      <c r="A22" s="1237" t="s">
        <v>641</v>
      </c>
      <c r="B22" s="1238" t="s">
        <v>28</v>
      </c>
      <c r="C22" s="1239">
        <v>900</v>
      </c>
      <c r="D22" s="1240">
        <v>90002</v>
      </c>
      <c r="E22" s="1241">
        <v>110000</v>
      </c>
      <c r="F22" s="71">
        <f t="shared" si="2"/>
        <v>10428283</v>
      </c>
      <c r="G22" s="1242">
        <v>7428283</v>
      </c>
      <c r="H22" s="117">
        <f t="shared" si="3"/>
        <v>3000000</v>
      </c>
      <c r="I22" s="117">
        <v>0</v>
      </c>
      <c r="J22" s="117">
        <v>0</v>
      </c>
      <c r="K22" s="1243">
        <v>3000000</v>
      </c>
      <c r="L22" s="1244">
        <f t="shared" si="4"/>
        <v>10428283</v>
      </c>
      <c r="M22" s="1245">
        <v>6938283</v>
      </c>
      <c r="N22" s="1246">
        <v>3490000</v>
      </c>
      <c r="O22" s="1246"/>
      <c r="P22" s="540">
        <v>110000</v>
      </c>
    </row>
    <row r="23" spans="1:16" ht="13.5" customHeight="1">
      <c r="A23" s="1412"/>
      <c r="B23" s="459" t="s">
        <v>52</v>
      </c>
      <c r="C23" s="456"/>
      <c r="D23" s="457"/>
      <c r="E23" s="460">
        <f>E24+E25+E26+E27+E28</f>
        <v>507800</v>
      </c>
      <c r="F23" s="460">
        <f aca="true" t="shared" si="5" ref="F23:P23">F24+F25+F26+F27+F28</f>
        <v>19995052</v>
      </c>
      <c r="G23" s="460">
        <f t="shared" si="5"/>
        <v>725182</v>
      </c>
      <c r="H23" s="460">
        <f t="shared" si="5"/>
        <v>19269870</v>
      </c>
      <c r="I23" s="460">
        <f t="shared" si="5"/>
        <v>19269870</v>
      </c>
      <c r="J23" s="460">
        <f t="shared" si="5"/>
        <v>0</v>
      </c>
      <c r="K23" s="1248">
        <f t="shared" si="5"/>
        <v>0</v>
      </c>
      <c r="L23" s="1249">
        <f t="shared" si="5"/>
        <v>19963452</v>
      </c>
      <c r="M23" s="460">
        <f t="shared" si="5"/>
        <v>19953452</v>
      </c>
      <c r="N23" s="460">
        <f t="shared" si="5"/>
        <v>10000</v>
      </c>
      <c r="O23" s="460">
        <f t="shared" si="5"/>
        <v>0</v>
      </c>
      <c r="P23" s="1299">
        <f t="shared" si="5"/>
        <v>539400</v>
      </c>
    </row>
    <row r="24" spans="1:16" ht="13.5" customHeight="1">
      <c r="A24" s="1413"/>
      <c r="B24" s="1414"/>
      <c r="C24" s="458">
        <v>801</v>
      </c>
      <c r="D24" s="416">
        <v>80101</v>
      </c>
      <c r="E24" s="1247">
        <f>SUM(E30+E35+E40+E46+E52+E57+E62)</f>
        <v>489300</v>
      </c>
      <c r="F24" s="483">
        <f>SUM(F30+F35+F40+F46+F52+F57+F62)</f>
        <v>19041862</v>
      </c>
      <c r="G24" s="465">
        <f aca="true" t="shared" si="6" ref="G24:N26">SUM(G30,G35,G40,G46,G52,G57,G62)</f>
        <v>674362</v>
      </c>
      <c r="H24" s="466">
        <f t="shared" si="6"/>
        <v>18367500</v>
      </c>
      <c r="I24" s="466">
        <f t="shared" si="6"/>
        <v>18367500</v>
      </c>
      <c r="J24" s="465">
        <f t="shared" si="6"/>
        <v>0</v>
      </c>
      <c r="K24" s="467">
        <f t="shared" si="6"/>
        <v>0</v>
      </c>
      <c r="L24" s="468">
        <f t="shared" si="6"/>
        <v>19011862</v>
      </c>
      <c r="M24" s="467">
        <f t="shared" si="6"/>
        <v>19001862</v>
      </c>
      <c r="N24" s="467">
        <f t="shared" si="6"/>
        <v>10000</v>
      </c>
      <c r="O24" s="466"/>
      <c r="P24" s="469">
        <f>SUM(P30+P35+P40+P46+P52+P57+P62)</f>
        <v>519300</v>
      </c>
    </row>
    <row r="25" spans="1:16" ht="13.5" customHeight="1">
      <c r="A25" s="1413"/>
      <c r="B25" s="1415"/>
      <c r="C25" s="458">
        <v>801</v>
      </c>
      <c r="D25" s="416">
        <v>80103</v>
      </c>
      <c r="E25" s="463">
        <f>SUM(E31+E36+E41+E47+E53+E58+E63)</f>
        <v>16600</v>
      </c>
      <c r="F25" s="464">
        <f>SUM(F31+F36+F41+F47+F53+F58+F63)</f>
        <v>578000</v>
      </c>
      <c r="G25" s="465">
        <f t="shared" si="6"/>
        <v>0</v>
      </c>
      <c r="H25" s="466">
        <f t="shared" si="6"/>
        <v>578000</v>
      </c>
      <c r="I25" s="466">
        <f t="shared" si="6"/>
        <v>578000</v>
      </c>
      <c r="J25" s="465">
        <f t="shared" si="6"/>
        <v>0</v>
      </c>
      <c r="K25" s="467">
        <f t="shared" si="6"/>
        <v>0</v>
      </c>
      <c r="L25" s="468">
        <f t="shared" si="6"/>
        <v>576500</v>
      </c>
      <c r="M25" s="467">
        <f t="shared" si="6"/>
        <v>576500</v>
      </c>
      <c r="N25" s="467">
        <f t="shared" si="6"/>
        <v>0</v>
      </c>
      <c r="O25" s="466"/>
      <c r="P25" s="469">
        <f>SUM(P31+P36+P41+P47+P53+P58+P63)</f>
        <v>18100</v>
      </c>
    </row>
    <row r="26" spans="1:16" ht="13.5" customHeight="1">
      <c r="A26" s="1413"/>
      <c r="B26" s="1415"/>
      <c r="C26" s="458">
        <v>801</v>
      </c>
      <c r="D26" s="416">
        <v>80146</v>
      </c>
      <c r="E26" s="464">
        <f>SUM(E32,E37,E42,E48,E54,E59,E64)</f>
        <v>900</v>
      </c>
      <c r="F26" s="464">
        <f>SUM(F32,F37,F42,F48,F54,F59,F64)</f>
        <v>86800</v>
      </c>
      <c r="G26" s="471">
        <f t="shared" si="6"/>
        <v>0</v>
      </c>
      <c r="H26" s="466">
        <f t="shared" si="6"/>
        <v>86800</v>
      </c>
      <c r="I26" s="466">
        <f t="shared" si="6"/>
        <v>86800</v>
      </c>
      <c r="J26" s="472">
        <f t="shared" si="6"/>
        <v>0</v>
      </c>
      <c r="K26" s="473">
        <f t="shared" si="6"/>
        <v>0</v>
      </c>
      <c r="L26" s="474">
        <f t="shared" si="6"/>
        <v>86700</v>
      </c>
      <c r="M26" s="473">
        <f t="shared" si="6"/>
        <v>86700</v>
      </c>
      <c r="N26" s="473">
        <f t="shared" si="6"/>
        <v>0</v>
      </c>
      <c r="O26" s="464"/>
      <c r="P26" s="475">
        <f>SUM(P32,P37,P42,P48,P54,P59,P64)</f>
        <v>1000</v>
      </c>
    </row>
    <row r="27" spans="1:16" ht="13.5" customHeight="1">
      <c r="A27" s="462"/>
      <c r="B27" s="920"/>
      <c r="C27" s="458">
        <v>801</v>
      </c>
      <c r="D27" s="416">
        <v>80148</v>
      </c>
      <c r="E27" s="464">
        <f>E49</f>
        <v>1000</v>
      </c>
      <c r="F27" s="464">
        <f>F49</f>
        <v>123820</v>
      </c>
      <c r="G27" s="464">
        <f aca="true" t="shared" si="7" ref="G27:P27">G49</f>
        <v>50820</v>
      </c>
      <c r="H27" s="464">
        <f t="shared" si="7"/>
        <v>73000</v>
      </c>
      <c r="I27" s="464">
        <f t="shared" si="7"/>
        <v>73000</v>
      </c>
      <c r="J27" s="464">
        <f t="shared" si="7"/>
        <v>0</v>
      </c>
      <c r="K27" s="473">
        <f t="shared" si="7"/>
        <v>0</v>
      </c>
      <c r="L27" s="477">
        <f t="shared" si="7"/>
        <v>123820</v>
      </c>
      <c r="M27" s="464">
        <f t="shared" si="7"/>
        <v>123820</v>
      </c>
      <c r="N27" s="464">
        <f t="shared" si="7"/>
        <v>0</v>
      </c>
      <c r="O27" s="464">
        <f t="shared" si="7"/>
        <v>0</v>
      </c>
      <c r="P27" s="1300">
        <f t="shared" si="7"/>
        <v>1000</v>
      </c>
    </row>
    <row r="28" spans="1:16" ht="13.5" customHeight="1">
      <c r="A28" s="462"/>
      <c r="B28" s="476"/>
      <c r="C28" s="458">
        <v>854</v>
      </c>
      <c r="D28" s="416">
        <v>85415</v>
      </c>
      <c r="E28" s="477">
        <f>SUM(E33,E38,E43,E50,E55,E60,E65)</f>
        <v>0</v>
      </c>
      <c r="F28" s="464">
        <f>SUM(F33+F38+F43+F50+F55+F60+F65)</f>
        <v>164570</v>
      </c>
      <c r="G28" s="471">
        <f>SUM(G33,G38,G43,G50,G55,G60,G65)</f>
        <v>0</v>
      </c>
      <c r="H28" s="466">
        <f aca="true" t="shared" si="8" ref="H28:M28">SUM(H33+H38+H43+H50+H55+H60+H65)</f>
        <v>164570</v>
      </c>
      <c r="I28" s="466">
        <f t="shared" si="8"/>
        <v>164570</v>
      </c>
      <c r="J28" s="472">
        <f t="shared" si="8"/>
        <v>0</v>
      </c>
      <c r="K28" s="467">
        <f t="shared" si="8"/>
        <v>0</v>
      </c>
      <c r="L28" s="474">
        <f t="shared" si="8"/>
        <v>164570</v>
      </c>
      <c r="M28" s="467">
        <f t="shared" si="8"/>
        <v>164570</v>
      </c>
      <c r="N28" s="464"/>
      <c r="O28" s="464"/>
      <c r="P28" s="478">
        <f>SUM(P33+P38+P43+P50+P55+P60+P65)</f>
        <v>0</v>
      </c>
    </row>
    <row r="29" spans="1:16" ht="13.5" customHeight="1">
      <c r="A29" s="1383" t="s">
        <v>642</v>
      </c>
      <c r="B29" s="208" t="s">
        <v>666</v>
      </c>
      <c r="C29" s="1355" t="s">
        <v>393</v>
      </c>
      <c r="D29" s="1356"/>
      <c r="E29" s="184">
        <f aca="true" t="shared" si="9" ref="E29:P29">SUM(E30:E33)</f>
        <v>64300</v>
      </c>
      <c r="F29" s="161">
        <f t="shared" si="9"/>
        <v>2061416</v>
      </c>
      <c r="G29" s="297">
        <f t="shared" si="9"/>
        <v>74096</v>
      </c>
      <c r="H29" s="161">
        <f t="shared" si="9"/>
        <v>1987320</v>
      </c>
      <c r="I29" s="161">
        <f t="shared" si="9"/>
        <v>1987320</v>
      </c>
      <c r="J29" s="161">
        <f t="shared" si="9"/>
        <v>0</v>
      </c>
      <c r="K29" s="162">
        <f t="shared" si="9"/>
        <v>0</v>
      </c>
      <c r="L29" s="184">
        <f t="shared" si="9"/>
        <v>2061416</v>
      </c>
      <c r="M29" s="184">
        <f t="shared" si="9"/>
        <v>2061416</v>
      </c>
      <c r="N29" s="872">
        <f t="shared" si="9"/>
        <v>0</v>
      </c>
      <c r="O29" s="161">
        <f t="shared" si="9"/>
        <v>0</v>
      </c>
      <c r="P29" s="185">
        <f t="shared" si="9"/>
        <v>64300</v>
      </c>
    </row>
    <row r="30" spans="1:16" ht="13.5" customHeight="1">
      <c r="A30" s="1384"/>
      <c r="B30" s="1403"/>
      <c r="C30" s="188">
        <v>801</v>
      </c>
      <c r="D30" s="189">
        <v>80101</v>
      </c>
      <c r="E30" s="183">
        <v>64300</v>
      </c>
      <c r="F30" s="109">
        <v>1986096</v>
      </c>
      <c r="G30" s="166">
        <v>74096</v>
      </c>
      <c r="H30" s="24">
        <f>SUM(I30:K30)</f>
        <v>1912000</v>
      </c>
      <c r="I30" s="163">
        <v>1912000</v>
      </c>
      <c r="J30" s="24">
        <v>0</v>
      </c>
      <c r="K30" s="163">
        <v>0</v>
      </c>
      <c r="L30" s="298">
        <f>SUM(E30+F30-P30)</f>
        <v>1986096</v>
      </c>
      <c r="M30" s="862">
        <v>1986096</v>
      </c>
      <c r="N30" s="110"/>
      <c r="O30" s="110"/>
      <c r="P30" s="111">
        <v>64300</v>
      </c>
    </row>
    <row r="31" spans="1:16" ht="13.5" customHeight="1">
      <c r="A31" s="1384"/>
      <c r="B31" s="1404"/>
      <c r="C31" s="188">
        <v>801</v>
      </c>
      <c r="D31" s="189">
        <v>80103</v>
      </c>
      <c r="E31" s="183"/>
      <c r="F31" s="109">
        <v>39000</v>
      </c>
      <c r="G31" s="163"/>
      <c r="H31" s="24">
        <f>SUM(I31:K31)</f>
        <v>39000</v>
      </c>
      <c r="I31" s="163">
        <v>39000</v>
      </c>
      <c r="J31" s="24"/>
      <c r="K31" s="163"/>
      <c r="L31" s="298">
        <f>SUM(E31+F31-P31)</f>
        <v>39000</v>
      </c>
      <c r="M31" s="862">
        <v>39000</v>
      </c>
      <c r="N31" s="110"/>
      <c r="O31" s="110"/>
      <c r="P31" s="111"/>
    </row>
    <row r="32" spans="1:16" ht="13.5" customHeight="1">
      <c r="A32" s="1384"/>
      <c r="B32" s="1404"/>
      <c r="C32" s="188">
        <v>801</v>
      </c>
      <c r="D32" s="189">
        <v>80146</v>
      </c>
      <c r="E32" s="293"/>
      <c r="F32" s="109">
        <v>5800</v>
      </c>
      <c r="G32" s="299"/>
      <c r="H32" s="24">
        <f>SUM(I32:K32)</f>
        <v>5800</v>
      </c>
      <c r="I32" s="163">
        <v>5800</v>
      </c>
      <c r="J32" s="24">
        <v>0</v>
      </c>
      <c r="K32" s="163">
        <v>0</v>
      </c>
      <c r="L32" s="298">
        <f>SUM(E32+F32-P32)</f>
        <v>5800</v>
      </c>
      <c r="M32" s="862">
        <v>5800</v>
      </c>
      <c r="N32" s="110"/>
      <c r="O32" s="110"/>
      <c r="P32" s="111">
        <v>0</v>
      </c>
    </row>
    <row r="33" spans="1:16" ht="13.5" customHeight="1">
      <c r="A33" s="207"/>
      <c r="B33" s="209"/>
      <c r="C33" s="188">
        <v>854</v>
      </c>
      <c r="D33" s="189">
        <v>85415</v>
      </c>
      <c r="E33" s="294"/>
      <c r="F33" s="109">
        <v>30520</v>
      </c>
      <c r="G33" s="300"/>
      <c r="H33" s="24">
        <f>SUM(I33:K33)</f>
        <v>30520</v>
      </c>
      <c r="I33" s="166">
        <v>30520</v>
      </c>
      <c r="J33" s="24"/>
      <c r="K33" s="163"/>
      <c r="L33" s="298">
        <f>SUM(E33+F33-P33)</f>
        <v>30520</v>
      </c>
      <c r="M33" s="862">
        <v>30520</v>
      </c>
      <c r="N33" s="110"/>
      <c r="O33" s="110"/>
      <c r="P33" s="111">
        <v>0</v>
      </c>
    </row>
    <row r="34" spans="1:16" ht="13.5" customHeight="1">
      <c r="A34" s="1383" t="s">
        <v>643</v>
      </c>
      <c r="B34" s="208" t="s">
        <v>0</v>
      </c>
      <c r="C34" s="1355" t="s">
        <v>393</v>
      </c>
      <c r="D34" s="1356"/>
      <c r="E34" s="186">
        <f aca="true" t="shared" si="10" ref="E34:P34">SUM(E35:E38)</f>
        <v>29000</v>
      </c>
      <c r="F34" s="161">
        <f t="shared" si="10"/>
        <v>1383070</v>
      </c>
      <c r="G34" s="297">
        <f t="shared" si="10"/>
        <v>52950</v>
      </c>
      <c r="H34" s="161">
        <f t="shared" si="10"/>
        <v>1330120</v>
      </c>
      <c r="I34" s="161">
        <f t="shared" si="10"/>
        <v>1330120</v>
      </c>
      <c r="J34" s="161">
        <f t="shared" si="10"/>
        <v>0</v>
      </c>
      <c r="K34" s="162">
        <f t="shared" si="10"/>
        <v>0</v>
      </c>
      <c r="L34" s="186">
        <f t="shared" si="10"/>
        <v>1383070</v>
      </c>
      <c r="M34" s="872">
        <f t="shared" si="10"/>
        <v>1383070</v>
      </c>
      <c r="N34" s="872">
        <f t="shared" si="10"/>
        <v>0</v>
      </c>
      <c r="O34" s="161">
        <f t="shared" si="10"/>
        <v>0</v>
      </c>
      <c r="P34" s="187">
        <f t="shared" si="10"/>
        <v>29000</v>
      </c>
    </row>
    <row r="35" spans="1:16" ht="13.5" customHeight="1">
      <c r="A35" s="1384"/>
      <c r="B35" s="1385"/>
      <c r="C35" s="188">
        <v>801</v>
      </c>
      <c r="D35" s="189">
        <v>80101</v>
      </c>
      <c r="E35" s="183">
        <v>25000</v>
      </c>
      <c r="F35" s="109">
        <f>SUM(G35:H35)</f>
        <v>1252950</v>
      </c>
      <c r="G35" s="24">
        <v>52950</v>
      </c>
      <c r="H35" s="163">
        <v>1200000</v>
      </c>
      <c r="I35" s="24">
        <v>1200000</v>
      </c>
      <c r="J35" s="24">
        <v>0</v>
      </c>
      <c r="K35" s="163">
        <v>0</v>
      </c>
      <c r="L35" s="298">
        <f>SUM(E35+F35-P35)</f>
        <v>1252950</v>
      </c>
      <c r="M35" s="862">
        <v>1252950</v>
      </c>
      <c r="N35" s="110"/>
      <c r="O35" s="110"/>
      <c r="P35" s="111">
        <v>25000</v>
      </c>
    </row>
    <row r="36" spans="1:16" ht="13.5" customHeight="1">
      <c r="A36" s="1384"/>
      <c r="B36" s="1386"/>
      <c r="C36" s="188">
        <v>801</v>
      </c>
      <c r="D36" s="189">
        <v>80103</v>
      </c>
      <c r="E36" s="183">
        <v>4000</v>
      </c>
      <c r="F36" s="109">
        <v>108000</v>
      </c>
      <c r="G36" s="24"/>
      <c r="H36" s="163">
        <v>108000</v>
      </c>
      <c r="I36" s="24">
        <v>108000</v>
      </c>
      <c r="J36" s="24"/>
      <c r="K36" s="163"/>
      <c r="L36" s="298">
        <f>SUM(E36+F36-P36)</f>
        <v>108000</v>
      </c>
      <c r="M36" s="862">
        <v>108000</v>
      </c>
      <c r="N36" s="110"/>
      <c r="O36" s="110"/>
      <c r="P36" s="111">
        <v>4000</v>
      </c>
    </row>
    <row r="37" spans="1:16" ht="13.5" customHeight="1">
      <c r="A37" s="1384"/>
      <c r="B37" s="1386"/>
      <c r="C37" s="188">
        <v>801</v>
      </c>
      <c r="D37" s="189">
        <v>80146</v>
      </c>
      <c r="E37" s="293"/>
      <c r="F37" s="109">
        <f>SUM(G37:H37)</f>
        <v>11900</v>
      </c>
      <c r="G37" s="301"/>
      <c r="H37" s="163">
        <v>11900</v>
      </c>
      <c r="I37" s="24">
        <v>11900</v>
      </c>
      <c r="J37" s="24">
        <v>0</v>
      </c>
      <c r="K37" s="163">
        <v>0</v>
      </c>
      <c r="L37" s="298">
        <f>SUM(E37+F37-P37)</f>
        <v>11900</v>
      </c>
      <c r="M37" s="862">
        <v>11900</v>
      </c>
      <c r="N37" s="110"/>
      <c r="O37" s="110"/>
      <c r="P37" s="111"/>
    </row>
    <row r="38" spans="1:16" ht="13.5" customHeight="1">
      <c r="A38" s="207"/>
      <c r="B38" s="210"/>
      <c r="C38" s="188">
        <v>854</v>
      </c>
      <c r="D38" s="189">
        <v>85415</v>
      </c>
      <c r="E38" s="294">
        <v>0</v>
      </c>
      <c r="F38" s="109">
        <v>10220</v>
      </c>
      <c r="G38" s="302"/>
      <c r="H38" s="163">
        <v>10220</v>
      </c>
      <c r="I38" s="24">
        <v>10220</v>
      </c>
      <c r="J38" s="24"/>
      <c r="K38" s="163"/>
      <c r="L38" s="298">
        <f>SUM(E38+F38-P38)</f>
        <v>10220</v>
      </c>
      <c r="M38" s="862">
        <v>10220</v>
      </c>
      <c r="N38" s="110"/>
      <c r="O38" s="110"/>
      <c r="P38" s="111"/>
    </row>
    <row r="39" spans="1:16" ht="13.5" customHeight="1">
      <c r="A39" s="1383" t="s">
        <v>644</v>
      </c>
      <c r="B39" s="208" t="s">
        <v>1</v>
      </c>
      <c r="C39" s="1355" t="s">
        <v>393</v>
      </c>
      <c r="D39" s="1356"/>
      <c r="E39" s="186">
        <f aca="true" t="shared" si="11" ref="E39:P39">SUM(E40:E43)</f>
        <v>50000</v>
      </c>
      <c r="F39" s="161">
        <f t="shared" si="11"/>
        <v>3189350</v>
      </c>
      <c r="G39" s="161">
        <f t="shared" si="11"/>
        <v>145050</v>
      </c>
      <c r="H39" s="297">
        <f t="shared" si="11"/>
        <v>3044300</v>
      </c>
      <c r="I39" s="161">
        <f t="shared" si="11"/>
        <v>3044300</v>
      </c>
      <c r="J39" s="161">
        <f t="shared" si="11"/>
        <v>0</v>
      </c>
      <c r="K39" s="162">
        <f t="shared" si="11"/>
        <v>0</v>
      </c>
      <c r="L39" s="186">
        <f t="shared" si="11"/>
        <v>3189350</v>
      </c>
      <c r="M39" s="872">
        <f t="shared" si="11"/>
        <v>3189350</v>
      </c>
      <c r="N39" s="161"/>
      <c r="O39" s="161"/>
      <c r="P39" s="187">
        <f t="shared" si="11"/>
        <v>50000</v>
      </c>
    </row>
    <row r="40" spans="1:16" ht="13.5" customHeight="1">
      <c r="A40" s="1384"/>
      <c r="B40" s="1403"/>
      <c r="C40" s="188">
        <v>801</v>
      </c>
      <c r="D40" s="189">
        <v>80101</v>
      </c>
      <c r="E40" s="183">
        <v>50000</v>
      </c>
      <c r="F40" s="109">
        <f>SUM(G40:H40)</f>
        <v>3082250</v>
      </c>
      <c r="G40" s="24">
        <v>145050</v>
      </c>
      <c r="H40" s="163">
        <v>2937200</v>
      </c>
      <c r="I40" s="24">
        <v>2937200</v>
      </c>
      <c r="J40" s="24"/>
      <c r="K40" s="163"/>
      <c r="L40" s="298">
        <f>SUM(E40+F40-P40)</f>
        <v>3082250</v>
      </c>
      <c r="M40" s="862">
        <v>3082250</v>
      </c>
      <c r="N40" s="110"/>
      <c r="O40" s="110"/>
      <c r="P40" s="111">
        <v>50000</v>
      </c>
    </row>
    <row r="41" spans="1:16" ht="13.5" customHeight="1">
      <c r="A41" s="1384"/>
      <c r="B41" s="1404"/>
      <c r="C41" s="188">
        <v>801</v>
      </c>
      <c r="D41" s="189">
        <v>80103</v>
      </c>
      <c r="E41" s="183"/>
      <c r="F41" s="109">
        <f>SUM(G41:H41)</f>
        <v>64000</v>
      </c>
      <c r="G41" s="24"/>
      <c r="H41" s="163">
        <v>64000</v>
      </c>
      <c r="I41" s="24">
        <v>64000</v>
      </c>
      <c r="J41" s="24"/>
      <c r="K41" s="163"/>
      <c r="L41" s="298">
        <f>SUM(E41+F41-P41)</f>
        <v>64000</v>
      </c>
      <c r="M41" s="862">
        <v>64000</v>
      </c>
      <c r="N41" s="110"/>
      <c r="O41" s="110"/>
      <c r="P41" s="111"/>
    </row>
    <row r="42" spans="1:16" ht="13.5" customHeight="1">
      <c r="A42" s="1384"/>
      <c r="B42" s="1404"/>
      <c r="C42" s="188">
        <v>801</v>
      </c>
      <c r="D42" s="189">
        <v>80146</v>
      </c>
      <c r="E42" s="647"/>
      <c r="F42" s="109">
        <f>SUM(G42:H42)</f>
        <v>17300</v>
      </c>
      <c r="G42" s="24"/>
      <c r="H42" s="163">
        <v>17300</v>
      </c>
      <c r="I42" s="24">
        <v>17300</v>
      </c>
      <c r="J42" s="24"/>
      <c r="K42" s="163"/>
      <c r="L42" s="298">
        <f>SUM(E42+F42-P42)</f>
        <v>17300</v>
      </c>
      <c r="M42" s="862">
        <v>17300</v>
      </c>
      <c r="N42" s="110"/>
      <c r="O42" s="110"/>
      <c r="P42" s="111">
        <v>0</v>
      </c>
    </row>
    <row r="43" spans="1:16" ht="13.5" customHeight="1" thickBot="1">
      <c r="A43" s="1387"/>
      <c r="B43" s="1422"/>
      <c r="C43" s="227">
        <v>854</v>
      </c>
      <c r="D43" s="223">
        <v>85415</v>
      </c>
      <c r="E43" s="648"/>
      <c r="F43" s="115">
        <f>SUM(G43:H43)</f>
        <v>25800</v>
      </c>
      <c r="G43" s="303"/>
      <c r="H43" s="164">
        <v>25800</v>
      </c>
      <c r="I43" s="177">
        <v>25800</v>
      </c>
      <c r="J43" s="201"/>
      <c r="K43" s="171"/>
      <c r="L43" s="304">
        <f>SUM(E43+F43-P43)</f>
        <v>25800</v>
      </c>
      <c r="M43" s="873">
        <v>25800</v>
      </c>
      <c r="N43" s="203"/>
      <c r="O43" s="203"/>
      <c r="P43" s="204">
        <v>0</v>
      </c>
    </row>
    <row r="44" spans="1:16" ht="12.75" thickBot="1">
      <c r="A44" s="650">
        <v>1</v>
      </c>
      <c r="B44" s="651">
        <v>2</v>
      </c>
      <c r="C44" s="650">
        <v>3</v>
      </c>
      <c r="D44" s="652">
        <v>4</v>
      </c>
      <c r="E44" s="653">
        <v>5</v>
      </c>
      <c r="F44" s="654">
        <v>6</v>
      </c>
      <c r="G44" s="655">
        <v>7</v>
      </c>
      <c r="H44" s="654">
        <v>8</v>
      </c>
      <c r="I44" s="654">
        <v>9</v>
      </c>
      <c r="J44" s="654">
        <v>10</v>
      </c>
      <c r="K44" s="654">
        <v>11</v>
      </c>
      <c r="L44" s="656">
        <v>12</v>
      </c>
      <c r="M44" s="651">
        <v>13</v>
      </c>
      <c r="N44" s="654">
        <v>14</v>
      </c>
      <c r="O44" s="654">
        <v>15</v>
      </c>
      <c r="P44" s="657">
        <v>16</v>
      </c>
    </row>
    <row r="45" spans="1:16" ht="13.5" customHeight="1">
      <c r="A45" s="1391" t="s">
        <v>645</v>
      </c>
      <c r="B45" s="904" t="s">
        <v>97</v>
      </c>
      <c r="C45" s="1424" t="s">
        <v>393</v>
      </c>
      <c r="D45" s="1425"/>
      <c r="E45" s="178">
        <f aca="true" t="shared" si="12" ref="E45:P45">SUM(E46:E50)</f>
        <v>22000</v>
      </c>
      <c r="F45" s="165">
        <f t="shared" si="12"/>
        <v>1566210</v>
      </c>
      <c r="G45" s="305">
        <f t="shared" si="12"/>
        <v>78920</v>
      </c>
      <c r="H45" s="165">
        <f t="shared" si="12"/>
        <v>1487290</v>
      </c>
      <c r="I45" s="165">
        <f t="shared" si="12"/>
        <v>1487290</v>
      </c>
      <c r="J45" s="165">
        <f t="shared" si="12"/>
        <v>0</v>
      </c>
      <c r="K45" s="198">
        <f t="shared" si="12"/>
        <v>0</v>
      </c>
      <c r="L45" s="178">
        <f t="shared" si="12"/>
        <v>1566210</v>
      </c>
      <c r="M45" s="874">
        <f t="shared" si="12"/>
        <v>1566210</v>
      </c>
      <c r="N45" s="165"/>
      <c r="O45" s="165"/>
      <c r="P45" s="197">
        <f t="shared" si="12"/>
        <v>22000</v>
      </c>
    </row>
    <row r="46" spans="1:16" ht="13.5" customHeight="1">
      <c r="A46" s="1392"/>
      <c r="B46" s="905" t="s">
        <v>98</v>
      </c>
      <c r="C46" s="188">
        <v>801</v>
      </c>
      <c r="D46" s="189">
        <v>80101</v>
      </c>
      <c r="E46" s="202">
        <v>20000</v>
      </c>
      <c r="F46" s="109">
        <f>SUM(G46:H46)</f>
        <v>1337100</v>
      </c>
      <c r="G46" s="166">
        <v>28100</v>
      </c>
      <c r="H46" s="166">
        <v>1309000</v>
      </c>
      <c r="I46" s="179">
        <v>1309000</v>
      </c>
      <c r="J46" s="24"/>
      <c r="K46" s="158"/>
      <c r="L46" s="298">
        <f>SUM(E46+F46-P46)</f>
        <v>1337100</v>
      </c>
      <c r="M46" s="179">
        <v>1337100</v>
      </c>
      <c r="N46" s="24"/>
      <c r="O46" s="24"/>
      <c r="P46" s="111">
        <v>20000</v>
      </c>
    </row>
    <row r="47" spans="1:16" s="119" customFormat="1" ht="13.5" customHeight="1">
      <c r="A47" s="1392"/>
      <c r="B47" s="906"/>
      <c r="C47" s="267">
        <v>801</v>
      </c>
      <c r="D47" s="268">
        <v>80103</v>
      </c>
      <c r="E47" s="271">
        <v>1000</v>
      </c>
      <c r="F47" s="269">
        <f>SUM(G47:H47)</f>
        <v>81000</v>
      </c>
      <c r="G47" s="272"/>
      <c r="H47" s="272">
        <v>81000</v>
      </c>
      <c r="I47" s="262">
        <v>81000</v>
      </c>
      <c r="J47" s="261"/>
      <c r="K47" s="266"/>
      <c r="L47" s="298">
        <f>SUM(E47+F47-P47)</f>
        <v>81000</v>
      </c>
      <c r="M47" s="875">
        <f>L47</f>
        <v>81000</v>
      </c>
      <c r="N47" s="261"/>
      <c r="O47" s="261"/>
      <c r="P47" s="270">
        <v>1000</v>
      </c>
    </row>
    <row r="48" spans="1:16" ht="13.5" customHeight="1">
      <c r="A48" s="1392"/>
      <c r="B48" s="906"/>
      <c r="C48" s="188">
        <v>801</v>
      </c>
      <c r="D48" s="189">
        <v>80146</v>
      </c>
      <c r="E48" s="293"/>
      <c r="F48" s="109">
        <f>SUM(G48:H48)</f>
        <v>4000</v>
      </c>
      <c r="G48" s="301"/>
      <c r="H48" s="166">
        <f>SUM(I48:K48)</f>
        <v>4000</v>
      </c>
      <c r="I48" s="163">
        <v>4000</v>
      </c>
      <c r="J48" s="24"/>
      <c r="K48" s="158"/>
      <c r="L48" s="298">
        <f>SUM(E48+F48-P48)</f>
        <v>4000</v>
      </c>
      <c r="M48" s="875">
        <f>L48</f>
        <v>4000</v>
      </c>
      <c r="N48" s="24"/>
      <c r="O48" s="24"/>
      <c r="P48" s="111"/>
    </row>
    <row r="49" spans="1:16" ht="13.5" customHeight="1">
      <c r="A49" s="1392"/>
      <c r="B49" s="906"/>
      <c r="C49" s="188">
        <v>801</v>
      </c>
      <c r="D49" s="189">
        <v>80148</v>
      </c>
      <c r="E49" s="293">
        <v>1000</v>
      </c>
      <c r="F49" s="109">
        <f>SUM(G49:H49)</f>
        <v>123820</v>
      </c>
      <c r="G49" s="301">
        <v>50820</v>
      </c>
      <c r="H49" s="166">
        <f>SUM(I49:K49)</f>
        <v>73000</v>
      </c>
      <c r="I49" s="180">
        <v>73000</v>
      </c>
      <c r="J49" s="228"/>
      <c r="K49" s="229"/>
      <c r="L49" s="298">
        <f>SUM(E49+F49-P49)</f>
        <v>123820</v>
      </c>
      <c r="M49" s="875">
        <f>L49</f>
        <v>123820</v>
      </c>
      <c r="N49" s="228"/>
      <c r="O49" s="228"/>
      <c r="P49" s="230">
        <v>1000</v>
      </c>
    </row>
    <row r="50" spans="1:16" ht="13.5" customHeight="1">
      <c r="A50" s="1423"/>
      <c r="B50" s="905"/>
      <c r="C50" s="188">
        <v>854</v>
      </c>
      <c r="D50" s="189">
        <v>85415</v>
      </c>
      <c r="E50" s="306">
        <v>0</v>
      </c>
      <c r="F50" s="109">
        <f>SUM(G50:H50)</f>
        <v>20290</v>
      </c>
      <c r="G50" s="301"/>
      <c r="H50" s="166">
        <f>SUM(I50:K50)</f>
        <v>20290</v>
      </c>
      <c r="I50" s="180">
        <v>20290</v>
      </c>
      <c r="J50" s="228"/>
      <c r="K50" s="229"/>
      <c r="L50" s="298">
        <f>SUM(E50+F50-P50)</f>
        <v>20290</v>
      </c>
      <c r="M50" s="875">
        <f>L50</f>
        <v>20290</v>
      </c>
      <c r="N50" s="228"/>
      <c r="O50" s="228"/>
      <c r="P50" s="230"/>
    </row>
    <row r="51" spans="1:16" ht="12">
      <c r="A51" s="1391" t="s">
        <v>646</v>
      </c>
      <c r="B51" s="73" t="s">
        <v>3</v>
      </c>
      <c r="C51" s="1355" t="s">
        <v>393</v>
      </c>
      <c r="D51" s="1356"/>
      <c r="E51" s="176">
        <f aca="true" t="shared" si="13" ref="E51:L51">SUM(E52:E55)</f>
        <v>253900</v>
      </c>
      <c r="F51" s="161">
        <f t="shared" si="13"/>
        <v>7143136</v>
      </c>
      <c r="G51" s="176">
        <f t="shared" si="13"/>
        <v>298366</v>
      </c>
      <c r="H51" s="167">
        <f t="shared" si="13"/>
        <v>6844770</v>
      </c>
      <c r="I51" s="167">
        <f t="shared" si="13"/>
        <v>6844770</v>
      </c>
      <c r="J51" s="167">
        <f t="shared" si="13"/>
        <v>0</v>
      </c>
      <c r="K51" s="199">
        <f t="shared" si="13"/>
        <v>0</v>
      </c>
      <c r="L51" s="176">
        <f t="shared" si="13"/>
        <v>7111536</v>
      </c>
      <c r="M51" s="872">
        <f>SUM(M52:M55)</f>
        <v>7101536</v>
      </c>
      <c r="N51" s="167"/>
      <c r="O51" s="167"/>
      <c r="P51" s="211">
        <f>SUM(P52:P54)</f>
        <v>285500</v>
      </c>
    </row>
    <row r="52" spans="1:16" ht="13.5" customHeight="1">
      <c r="A52" s="1392"/>
      <c r="B52" s="1388"/>
      <c r="C52" s="188">
        <v>801</v>
      </c>
      <c r="D52" s="189">
        <v>80101</v>
      </c>
      <c r="E52" s="202">
        <v>250000</v>
      </c>
      <c r="F52" s="109">
        <f>SUM(G52:H52)</f>
        <v>6986766</v>
      </c>
      <c r="G52" s="163">
        <v>298366</v>
      </c>
      <c r="H52" s="24">
        <f>SUM(I52:K52)</f>
        <v>6688400</v>
      </c>
      <c r="I52" s="163">
        <f>6686000+2400</f>
        <v>6688400</v>
      </c>
      <c r="J52" s="24"/>
      <c r="K52" s="158"/>
      <c r="L52" s="298">
        <f>SUM(E52+F52-P52)</f>
        <v>6956766</v>
      </c>
      <c r="M52" s="179">
        <f>6954366+2400-10000</f>
        <v>6946766</v>
      </c>
      <c r="N52" s="24">
        <v>10000</v>
      </c>
      <c r="O52" s="24"/>
      <c r="P52" s="111">
        <v>280000</v>
      </c>
    </row>
    <row r="53" spans="1:16" ht="13.5" customHeight="1">
      <c r="A53" s="1392"/>
      <c r="B53" s="1389"/>
      <c r="C53" s="188">
        <v>801</v>
      </c>
      <c r="D53" s="189">
        <v>80103</v>
      </c>
      <c r="E53" s="202">
        <v>3000</v>
      </c>
      <c r="F53" s="109">
        <f>SUM(G53:H53)</f>
        <v>84000</v>
      </c>
      <c r="G53" s="163"/>
      <c r="H53" s="24">
        <f>SUM(I53:K53)</f>
        <v>84000</v>
      </c>
      <c r="I53" s="163">
        <v>84000</v>
      </c>
      <c r="J53" s="24"/>
      <c r="K53" s="158"/>
      <c r="L53" s="298">
        <f>SUM(E53+F53-P53)</f>
        <v>82500</v>
      </c>
      <c r="M53" s="179">
        <v>82500</v>
      </c>
      <c r="N53" s="24"/>
      <c r="O53" s="24"/>
      <c r="P53" s="111">
        <v>4500</v>
      </c>
    </row>
    <row r="54" spans="1:16" ht="13.5" customHeight="1">
      <c r="A54" s="1392"/>
      <c r="B54" s="1389"/>
      <c r="C54" s="188">
        <v>801</v>
      </c>
      <c r="D54" s="189">
        <v>80146</v>
      </c>
      <c r="E54" s="306">
        <v>900</v>
      </c>
      <c r="F54" s="109">
        <f>SUM(G54:H54)</f>
        <v>35400</v>
      </c>
      <c r="G54" s="163"/>
      <c r="H54" s="24">
        <f>SUM(I54:K54)</f>
        <v>35400</v>
      </c>
      <c r="I54" s="163">
        <v>35400</v>
      </c>
      <c r="J54" s="24"/>
      <c r="K54" s="158"/>
      <c r="L54" s="298">
        <f>SUM(E54+F54-P54)</f>
        <v>35300</v>
      </c>
      <c r="M54" s="179">
        <v>35300</v>
      </c>
      <c r="N54" s="24"/>
      <c r="O54" s="24"/>
      <c r="P54" s="111">
        <v>1000</v>
      </c>
    </row>
    <row r="55" spans="1:16" ht="13.5" customHeight="1">
      <c r="A55" s="1423"/>
      <c r="B55" s="1390"/>
      <c r="C55" s="188">
        <v>854</v>
      </c>
      <c r="D55" s="189">
        <v>85415</v>
      </c>
      <c r="E55" s="306">
        <v>0</v>
      </c>
      <c r="F55" s="109">
        <f>SUM(G55:H55)</f>
        <v>36970</v>
      </c>
      <c r="G55" s="163"/>
      <c r="H55" s="24">
        <f>SUM(I55:K55)</f>
        <v>36970</v>
      </c>
      <c r="I55" s="163">
        <v>36970</v>
      </c>
      <c r="J55" s="24"/>
      <c r="K55" s="158"/>
      <c r="L55" s="298">
        <f>SUM(E55+F55-P55)</f>
        <v>36970</v>
      </c>
      <c r="M55" s="179">
        <v>36970</v>
      </c>
      <c r="N55" s="24"/>
      <c r="O55" s="24"/>
      <c r="P55" s="111">
        <v>0</v>
      </c>
    </row>
    <row r="56" spans="1:16" ht="13.5" customHeight="1">
      <c r="A56" s="1391" t="s">
        <v>647</v>
      </c>
      <c r="B56" s="73" t="s">
        <v>4</v>
      </c>
      <c r="C56" s="1355" t="s">
        <v>393</v>
      </c>
      <c r="D56" s="1356"/>
      <c r="E56" s="176">
        <f aca="true" t="shared" si="14" ref="E56:M56">SUM(E57:E60)</f>
        <v>46600</v>
      </c>
      <c r="F56" s="167">
        <f t="shared" si="14"/>
        <v>2073090</v>
      </c>
      <c r="G56" s="176">
        <f t="shared" si="14"/>
        <v>37600</v>
      </c>
      <c r="H56" s="167">
        <f t="shared" si="14"/>
        <v>2035490</v>
      </c>
      <c r="I56" s="167">
        <f t="shared" si="14"/>
        <v>2035490</v>
      </c>
      <c r="J56" s="167">
        <f t="shared" si="14"/>
        <v>0</v>
      </c>
      <c r="K56" s="199">
        <f t="shared" si="14"/>
        <v>0</v>
      </c>
      <c r="L56" s="876">
        <f t="shared" si="14"/>
        <v>2073090</v>
      </c>
      <c r="M56" s="176">
        <f t="shared" si="14"/>
        <v>2073090</v>
      </c>
      <c r="N56" s="167"/>
      <c r="O56" s="167"/>
      <c r="P56" s="211">
        <f>SUM(P57:P60)</f>
        <v>46600</v>
      </c>
    </row>
    <row r="57" spans="1:16" ht="13.5" customHeight="1">
      <c r="A57" s="1392"/>
      <c r="B57" s="1388"/>
      <c r="C57" s="188">
        <v>801</v>
      </c>
      <c r="D57" s="189">
        <v>80101</v>
      </c>
      <c r="E57" s="202">
        <v>40000</v>
      </c>
      <c r="F57" s="109">
        <f>SUM(G57:H57)</f>
        <v>1909500</v>
      </c>
      <c r="G57" s="163">
        <v>37600</v>
      </c>
      <c r="H57" s="261">
        <f>SUM(I57:K57)</f>
        <v>1871900</v>
      </c>
      <c r="I57" s="163">
        <v>1871900</v>
      </c>
      <c r="J57" s="24"/>
      <c r="K57" s="158"/>
      <c r="L57" s="298">
        <f>SUM(E57+F57-P57)</f>
        <v>1909500</v>
      </c>
      <c r="M57" s="179">
        <f>L57</f>
        <v>1909500</v>
      </c>
      <c r="N57" s="24"/>
      <c r="O57" s="24"/>
      <c r="P57" s="111">
        <v>40000</v>
      </c>
    </row>
    <row r="58" spans="1:16" s="119" customFormat="1" ht="13.5" customHeight="1">
      <c r="A58" s="1392"/>
      <c r="B58" s="1389"/>
      <c r="C58" s="267">
        <v>801</v>
      </c>
      <c r="D58" s="268">
        <v>80103</v>
      </c>
      <c r="E58" s="271">
        <v>6600</v>
      </c>
      <c r="F58" s="269">
        <f>SUM(G58:H58)</f>
        <v>137000</v>
      </c>
      <c r="G58" s="262"/>
      <c r="H58" s="24">
        <f>SUM(I58:K58)</f>
        <v>137000</v>
      </c>
      <c r="I58" s="262">
        <v>137000</v>
      </c>
      <c r="J58" s="261"/>
      <c r="K58" s="266"/>
      <c r="L58" s="298">
        <f>SUM(E58+F58-P58)</f>
        <v>137000</v>
      </c>
      <c r="M58" s="179">
        <f>L58</f>
        <v>137000</v>
      </c>
      <c r="N58" s="261"/>
      <c r="O58" s="261"/>
      <c r="P58" s="270">
        <v>6600</v>
      </c>
    </row>
    <row r="59" spans="1:16" ht="13.5" customHeight="1">
      <c r="A59" s="1392"/>
      <c r="B59" s="1389"/>
      <c r="C59" s="188">
        <v>801</v>
      </c>
      <c r="D59" s="189">
        <v>80146</v>
      </c>
      <c r="E59" s="293">
        <v>0</v>
      </c>
      <c r="F59" s="109">
        <f>SUM(G59:H59)</f>
        <v>6200</v>
      </c>
      <c r="G59" s="299"/>
      <c r="H59" s="24">
        <f>SUM(I59:K59)</f>
        <v>6200</v>
      </c>
      <c r="I59" s="163">
        <v>6200</v>
      </c>
      <c r="J59" s="24"/>
      <c r="K59" s="158"/>
      <c r="L59" s="298">
        <f>SUM(E59+F59-P59)</f>
        <v>6200</v>
      </c>
      <c r="M59" s="179">
        <f>L59</f>
        <v>6200</v>
      </c>
      <c r="N59" s="24"/>
      <c r="O59" s="24"/>
      <c r="P59" s="111">
        <v>0</v>
      </c>
    </row>
    <row r="60" spans="1:16" ht="13.5" customHeight="1">
      <c r="A60" s="99"/>
      <c r="B60" s="1390"/>
      <c r="C60" s="188">
        <v>854</v>
      </c>
      <c r="D60" s="189">
        <v>85415</v>
      </c>
      <c r="E60" s="294">
        <v>0</v>
      </c>
      <c r="F60" s="109">
        <f>SUM(G60:H60)</f>
        <v>20390</v>
      </c>
      <c r="G60" s="300"/>
      <c r="H60" s="24">
        <f>SUM(I60:K60)</f>
        <v>20390</v>
      </c>
      <c r="I60" s="163">
        <v>20390</v>
      </c>
      <c r="J60" s="24"/>
      <c r="K60" s="158"/>
      <c r="L60" s="298">
        <f>SUM(E60+F60-P60)</f>
        <v>20390</v>
      </c>
      <c r="M60" s="179">
        <f>L60</f>
        <v>20390</v>
      </c>
      <c r="N60" s="24"/>
      <c r="O60" s="24"/>
      <c r="P60" s="111">
        <v>0</v>
      </c>
    </row>
    <row r="61" spans="1:16" ht="13.5" customHeight="1">
      <c r="A61" s="1391" t="s">
        <v>648</v>
      </c>
      <c r="B61" s="907" t="s">
        <v>99</v>
      </c>
      <c r="C61" s="1355" t="s">
        <v>393</v>
      </c>
      <c r="D61" s="1356"/>
      <c r="E61" s="162">
        <f aca="true" t="shared" si="15" ref="E61:P61">SUM(E62:E65)</f>
        <v>42000</v>
      </c>
      <c r="F61" s="161">
        <f t="shared" si="15"/>
        <v>2578780</v>
      </c>
      <c r="G61" s="162">
        <f t="shared" si="15"/>
        <v>38200</v>
      </c>
      <c r="H61" s="161">
        <f t="shared" si="15"/>
        <v>2540580</v>
      </c>
      <c r="I61" s="161">
        <f t="shared" si="15"/>
        <v>2540580</v>
      </c>
      <c r="J61" s="161">
        <f t="shared" si="15"/>
        <v>0</v>
      </c>
      <c r="K61" s="200">
        <f t="shared" si="15"/>
        <v>0</v>
      </c>
      <c r="L61" s="162">
        <f t="shared" si="15"/>
        <v>2578780</v>
      </c>
      <c r="M61" s="872">
        <f t="shared" si="15"/>
        <v>2578780</v>
      </c>
      <c r="N61" s="161"/>
      <c r="O61" s="161"/>
      <c r="P61" s="187">
        <f t="shared" si="15"/>
        <v>42000</v>
      </c>
    </row>
    <row r="62" spans="1:16" ht="13.5" customHeight="1">
      <c r="A62" s="1392"/>
      <c r="B62" s="908" t="s">
        <v>100</v>
      </c>
      <c r="C62" s="188">
        <v>801</v>
      </c>
      <c r="D62" s="189">
        <v>80101</v>
      </c>
      <c r="E62" s="202">
        <v>40000</v>
      </c>
      <c r="F62" s="109">
        <f>SUM(G62:H62)</f>
        <v>2487200</v>
      </c>
      <c r="G62" s="163">
        <v>38200</v>
      </c>
      <c r="H62" s="24">
        <f>SUM(I62:K62)</f>
        <v>2449000</v>
      </c>
      <c r="I62" s="163">
        <v>2449000</v>
      </c>
      <c r="J62" s="24"/>
      <c r="K62" s="158"/>
      <c r="L62" s="298">
        <f>SUM(E62+F62-P62)</f>
        <v>2487200</v>
      </c>
      <c r="M62" s="179">
        <f>L62</f>
        <v>2487200</v>
      </c>
      <c r="N62" s="24"/>
      <c r="O62" s="24"/>
      <c r="P62" s="111">
        <v>40000</v>
      </c>
    </row>
    <row r="63" spans="1:16" s="119" customFormat="1" ht="13.5" customHeight="1">
      <c r="A63" s="1392"/>
      <c r="B63" s="909"/>
      <c r="C63" s="267">
        <v>801</v>
      </c>
      <c r="D63" s="268">
        <v>80103</v>
      </c>
      <c r="E63" s="271">
        <v>2000</v>
      </c>
      <c r="F63" s="269">
        <f>SUM(G63:H63)</f>
        <v>65000</v>
      </c>
      <c r="G63" s="262"/>
      <c r="H63" s="261">
        <f>SUM(I63:K63)</f>
        <v>65000</v>
      </c>
      <c r="I63" s="262">
        <v>65000</v>
      </c>
      <c r="J63" s="261"/>
      <c r="K63" s="875"/>
      <c r="L63" s="298">
        <f>SUM(E63+F63-P63)</f>
        <v>65000</v>
      </c>
      <c r="M63" s="179">
        <f>L63</f>
        <v>65000</v>
      </c>
      <c r="N63" s="261"/>
      <c r="O63" s="261"/>
      <c r="P63" s="270">
        <v>2000</v>
      </c>
    </row>
    <row r="64" spans="1:16" ht="13.5" customHeight="1">
      <c r="A64" s="1392"/>
      <c r="B64" s="909"/>
      <c r="C64" s="188">
        <v>801</v>
      </c>
      <c r="D64" s="189">
        <v>80146</v>
      </c>
      <c r="E64" s="293"/>
      <c r="F64" s="109">
        <f>SUM(G64:H64)</f>
        <v>6200</v>
      </c>
      <c r="G64" s="299"/>
      <c r="H64" s="24">
        <f>SUM(I64:K64)</f>
        <v>6200</v>
      </c>
      <c r="I64" s="179">
        <v>6200</v>
      </c>
      <c r="J64" s="24"/>
      <c r="K64" s="163"/>
      <c r="L64" s="298">
        <f>SUM(E64+F64-P64)</f>
        <v>6200</v>
      </c>
      <c r="M64" s="179">
        <f>L64</f>
        <v>6200</v>
      </c>
      <c r="N64" s="24"/>
      <c r="O64" s="24"/>
      <c r="P64" s="111"/>
    </row>
    <row r="65" spans="1:16" ht="13.5" customHeight="1" thickBot="1">
      <c r="A65" s="160"/>
      <c r="B65" s="910"/>
      <c r="C65" s="190">
        <v>854</v>
      </c>
      <c r="D65" s="191">
        <v>85415</v>
      </c>
      <c r="E65" s="307"/>
      <c r="F65" s="115">
        <f>SUM(G65:H65)</f>
        <v>20380</v>
      </c>
      <c r="G65" s="308"/>
      <c r="H65" s="25">
        <f>SUM(I65:K65)</f>
        <v>20380</v>
      </c>
      <c r="I65" s="201">
        <v>20380</v>
      </c>
      <c r="J65" s="171"/>
      <c r="K65" s="177"/>
      <c r="L65" s="304">
        <f>SUM(E65+F65-P65)</f>
        <v>20380</v>
      </c>
      <c r="M65" s="25">
        <f>L65</f>
        <v>20380</v>
      </c>
      <c r="N65" s="201"/>
      <c r="O65" s="201"/>
      <c r="P65" s="204"/>
    </row>
    <row r="66" spans="1:16" ht="13.5" customHeight="1">
      <c r="A66" s="1380"/>
      <c r="B66" s="479" t="s">
        <v>55</v>
      </c>
      <c r="C66" s="480"/>
      <c r="D66" s="481"/>
      <c r="E66" s="482">
        <f>E67+E68</f>
        <v>131000</v>
      </c>
      <c r="F66" s="482">
        <f aca="true" t="shared" si="16" ref="F66:P66">F67+F68</f>
        <v>9460756</v>
      </c>
      <c r="G66" s="482">
        <f t="shared" si="16"/>
        <v>2037756</v>
      </c>
      <c r="H66" s="482">
        <f t="shared" si="16"/>
        <v>7423000</v>
      </c>
      <c r="I66" s="482">
        <f t="shared" si="16"/>
        <v>7423000</v>
      </c>
      <c r="J66" s="482">
        <f t="shared" si="16"/>
        <v>0</v>
      </c>
      <c r="K66" s="1225">
        <f t="shared" si="16"/>
        <v>0</v>
      </c>
      <c r="L66" s="1226">
        <f t="shared" si="16"/>
        <v>9450756</v>
      </c>
      <c r="M66" s="482">
        <f t="shared" si="16"/>
        <v>9450756</v>
      </c>
      <c r="N66" s="482">
        <f t="shared" si="16"/>
        <v>0</v>
      </c>
      <c r="O66" s="482">
        <f t="shared" si="16"/>
        <v>0</v>
      </c>
      <c r="P66" s="1301">
        <f t="shared" si="16"/>
        <v>141000</v>
      </c>
    </row>
    <row r="67" spans="1:16" ht="13.5" customHeight="1">
      <c r="A67" s="1380"/>
      <c r="B67" s="1381"/>
      <c r="C67" s="480">
        <v>801</v>
      </c>
      <c r="D67" s="481">
        <v>80104</v>
      </c>
      <c r="E67" s="483">
        <f aca="true" t="shared" si="17" ref="E67:M67">SUM(E70,E73,E76,E79,E82,E85,E88,E92,E95)</f>
        <v>131000</v>
      </c>
      <c r="F67" s="466">
        <f t="shared" si="17"/>
        <v>9430256</v>
      </c>
      <c r="G67" s="470">
        <f t="shared" si="17"/>
        <v>2037756</v>
      </c>
      <c r="H67" s="465">
        <f t="shared" si="17"/>
        <v>7392500</v>
      </c>
      <c r="I67" s="466">
        <f t="shared" si="17"/>
        <v>7392500</v>
      </c>
      <c r="J67" s="465">
        <f t="shared" si="17"/>
        <v>0</v>
      </c>
      <c r="K67" s="467">
        <f t="shared" si="17"/>
        <v>0</v>
      </c>
      <c r="L67" s="1224">
        <f t="shared" si="17"/>
        <v>9420256</v>
      </c>
      <c r="M67" s="467">
        <f t="shared" si="17"/>
        <v>9420256</v>
      </c>
      <c r="N67" s="466"/>
      <c r="O67" s="466"/>
      <c r="P67" s="484">
        <f>SUM(P70,P73,P76,P79,P82,P85,P88,P92,P95)</f>
        <v>141000</v>
      </c>
    </row>
    <row r="68" spans="1:16" ht="13.5" customHeight="1">
      <c r="A68" s="1380"/>
      <c r="B68" s="1382"/>
      <c r="C68" s="480">
        <v>801</v>
      </c>
      <c r="D68" s="481">
        <v>80146</v>
      </c>
      <c r="E68" s="466">
        <f>SUM(E71,E74,E77,E80,E83,E86,E89,E93,E96)</f>
        <v>0</v>
      </c>
      <c r="F68" s="466">
        <f>SUM(F71,F74,F77,F80,F83,F86,F89,F93,F96)</f>
        <v>30500</v>
      </c>
      <c r="G68" s="470">
        <f>SUM(G71,G74,G77,G80,G83,G86,G89,G93,G96)</f>
        <v>0</v>
      </c>
      <c r="H68" s="465">
        <f>SUM(H71,H74,H77,H80,H83,H86,H89,H93,H96)</f>
        <v>30500</v>
      </c>
      <c r="I68" s="466">
        <f>I71+I74+I77+I80+I83+I86+I89+I93+I96</f>
        <v>30500</v>
      </c>
      <c r="J68" s="465">
        <f>SUM(J71,J74,J77,J80,J83,J86,J89,J93,J96)</f>
        <v>0</v>
      </c>
      <c r="K68" s="467">
        <f>SUM(K71,K74,K77,K80,K83,K86,K89,K93,K96)</f>
        <v>0</v>
      </c>
      <c r="L68" s="1224">
        <f>SUM(L71,L74,L77,L80,L83,L86,L89,L93,L96)</f>
        <v>30500</v>
      </c>
      <c r="M68" s="467">
        <f>SUM(M71,M74,M77,M80,M83,M86,M89,M93,M96)</f>
        <v>30500</v>
      </c>
      <c r="N68" s="466"/>
      <c r="O68" s="466"/>
      <c r="P68" s="484">
        <f>SUM(P71,P74,P77,P80,P83,P86,P89,P93,P96)</f>
        <v>0</v>
      </c>
    </row>
    <row r="69" spans="1:16" ht="13.5" customHeight="1">
      <c r="A69" s="1395" t="s">
        <v>649</v>
      </c>
      <c r="B69" s="72" t="s">
        <v>37</v>
      </c>
      <c r="C69" s="1355" t="s">
        <v>393</v>
      </c>
      <c r="D69" s="1356"/>
      <c r="E69" s="162">
        <f>SUM(E70:E71)</f>
        <v>24000</v>
      </c>
      <c r="F69" s="168">
        <f>SUM(F70:F71)</f>
        <v>972750</v>
      </c>
      <c r="G69" s="193">
        <f>SUM(G70:G71)</f>
        <v>217250</v>
      </c>
      <c r="H69" s="168">
        <f>SUM(I69)</f>
        <v>755500</v>
      </c>
      <c r="I69" s="168">
        <f>SUM(I70:I71)</f>
        <v>755500</v>
      </c>
      <c r="J69" s="324">
        <f>SUM(J70:J71)</f>
        <v>0</v>
      </c>
      <c r="K69" s="324">
        <f>SUM(K70:K71)</f>
        <v>0</v>
      </c>
      <c r="L69" s="1227">
        <f>SUM(L70:L71)</f>
        <v>972750</v>
      </c>
      <c r="M69" s="324">
        <f>SUM(M70:M71)</f>
        <v>972750</v>
      </c>
      <c r="N69" s="168"/>
      <c r="O69" s="168"/>
      <c r="P69" s="325">
        <f>SUM(P70:P71)</f>
        <v>24000</v>
      </c>
    </row>
    <row r="70" spans="1:16" ht="13.5" customHeight="1">
      <c r="A70" s="1396"/>
      <c r="B70" s="1393"/>
      <c r="C70" s="188">
        <v>801</v>
      </c>
      <c r="D70" s="189">
        <v>80104</v>
      </c>
      <c r="E70" s="202">
        <v>24000</v>
      </c>
      <c r="F70" s="109">
        <f>SUM(G70:H70)</f>
        <v>970650</v>
      </c>
      <c r="G70" s="166">
        <v>217250</v>
      </c>
      <c r="H70" s="109">
        <f>SUM(I70:K70)</f>
        <v>753400</v>
      </c>
      <c r="I70" s="24">
        <v>753400</v>
      </c>
      <c r="J70" s="24"/>
      <c r="K70" s="24"/>
      <c r="L70" s="298">
        <f>SUM(E70+F70-P70)</f>
        <v>970650</v>
      </c>
      <c r="M70" s="179">
        <v>970650</v>
      </c>
      <c r="N70" s="24"/>
      <c r="O70" s="24"/>
      <c r="P70" s="111">
        <v>24000</v>
      </c>
    </row>
    <row r="71" spans="1:16" ht="13.5" customHeight="1">
      <c r="A71" s="1396"/>
      <c r="B71" s="1394"/>
      <c r="C71" s="188">
        <v>801</v>
      </c>
      <c r="D71" s="189">
        <v>80146</v>
      </c>
      <c r="E71" s="306">
        <v>0</v>
      </c>
      <c r="F71" s="109">
        <f>SUM(G71:H71)</f>
        <v>2100</v>
      </c>
      <c r="G71" s="166"/>
      <c r="H71" s="109">
        <f>SUM(I71:K71)</f>
        <v>2100</v>
      </c>
      <c r="I71" s="24">
        <v>2100</v>
      </c>
      <c r="J71" s="24"/>
      <c r="K71" s="24"/>
      <c r="L71" s="298">
        <f>SUM(E71+F71-P71)</f>
        <v>2100</v>
      </c>
      <c r="M71" s="179">
        <v>2100</v>
      </c>
      <c r="N71" s="24"/>
      <c r="O71" s="24"/>
      <c r="P71" s="111">
        <v>0</v>
      </c>
    </row>
    <row r="72" spans="1:16" ht="13.5" customHeight="1">
      <c r="A72" s="1395" t="s">
        <v>650</v>
      </c>
      <c r="B72" s="72" t="s">
        <v>38</v>
      </c>
      <c r="C72" s="1355" t="s">
        <v>393</v>
      </c>
      <c r="D72" s="1356"/>
      <c r="E72" s="176">
        <f>SUM(E73:E74)</f>
        <v>15000</v>
      </c>
      <c r="F72" s="168">
        <f>SUM(F73:F74)</f>
        <v>1198346</v>
      </c>
      <c r="G72" s="193">
        <f>SUM(G73:G74)</f>
        <v>298946</v>
      </c>
      <c r="H72" s="168">
        <f>SUM(I72)</f>
        <v>899400</v>
      </c>
      <c r="I72" s="168">
        <f>SUM(I73:I74)</f>
        <v>899400</v>
      </c>
      <c r="J72" s="168">
        <f>SUM(J73:J74)</f>
        <v>0</v>
      </c>
      <c r="K72" s="168">
        <f>SUM(K73:K74)</f>
        <v>0</v>
      </c>
      <c r="L72" s="194">
        <f>SUM(L73:L74)</f>
        <v>1188346</v>
      </c>
      <c r="M72" s="324">
        <f>SUM(M73:M74)</f>
        <v>1188346</v>
      </c>
      <c r="N72" s="168"/>
      <c r="O72" s="168"/>
      <c r="P72" s="325">
        <f>SUM(P73:P74)</f>
        <v>25000</v>
      </c>
    </row>
    <row r="73" spans="1:16" ht="13.5" customHeight="1">
      <c r="A73" s="1396"/>
      <c r="B73" s="1393"/>
      <c r="C73" s="188">
        <v>801</v>
      </c>
      <c r="D73" s="189">
        <v>80104</v>
      </c>
      <c r="E73" s="202">
        <v>15000</v>
      </c>
      <c r="F73" s="109">
        <f>SUM(G73:H73)</f>
        <v>1195646</v>
      </c>
      <c r="G73" s="166">
        <v>298946</v>
      </c>
      <c r="H73" s="109">
        <f>SUM(I73:K73)</f>
        <v>896700</v>
      </c>
      <c r="I73" s="24">
        <v>896700</v>
      </c>
      <c r="J73" s="24"/>
      <c r="K73" s="24"/>
      <c r="L73" s="298">
        <f>SUM(E73+F73-P73)</f>
        <v>1185646</v>
      </c>
      <c r="M73" s="179">
        <v>1185646</v>
      </c>
      <c r="N73" s="24"/>
      <c r="O73" s="24"/>
      <c r="P73" s="111">
        <v>25000</v>
      </c>
    </row>
    <row r="74" spans="1:16" ht="13.5" customHeight="1">
      <c r="A74" s="1396"/>
      <c r="B74" s="1394"/>
      <c r="C74" s="188">
        <v>801</v>
      </c>
      <c r="D74" s="189">
        <v>80146</v>
      </c>
      <c r="E74" s="306">
        <v>0</v>
      </c>
      <c r="F74" s="109">
        <f>SUM(G74:H74)</f>
        <v>2700</v>
      </c>
      <c r="G74" s="166"/>
      <c r="H74" s="109">
        <f>SUM(I74:K74)</f>
        <v>2700</v>
      </c>
      <c r="I74" s="24">
        <v>2700</v>
      </c>
      <c r="J74" s="24"/>
      <c r="K74" s="24"/>
      <c r="L74" s="298">
        <f>SUM(E74+F74-P74)</f>
        <v>2700</v>
      </c>
      <c r="M74" s="179">
        <v>2700</v>
      </c>
      <c r="N74" s="24"/>
      <c r="O74" s="24"/>
      <c r="P74" s="111">
        <v>0</v>
      </c>
    </row>
    <row r="75" spans="1:16" ht="13.5" customHeight="1">
      <c r="A75" s="1395" t="s">
        <v>651</v>
      </c>
      <c r="B75" s="72" t="s">
        <v>39</v>
      </c>
      <c r="C75" s="1355" t="s">
        <v>393</v>
      </c>
      <c r="D75" s="1356"/>
      <c r="E75" s="176">
        <f>SUM(E76:E77)</f>
        <v>5000</v>
      </c>
      <c r="F75" s="168">
        <f>SUM(F76:F77)</f>
        <v>1170720</v>
      </c>
      <c r="G75" s="193">
        <f>SUM(G76:G77)</f>
        <v>281020</v>
      </c>
      <c r="H75" s="168">
        <f>SUM(I75)</f>
        <v>889700</v>
      </c>
      <c r="I75" s="168">
        <f>SUM(I76:I77)</f>
        <v>889700</v>
      </c>
      <c r="J75" s="168">
        <f>SUM(J76:J77)</f>
        <v>0</v>
      </c>
      <c r="K75" s="168">
        <f>SUM(K76:K77)</f>
        <v>0</v>
      </c>
      <c r="L75" s="194">
        <f>SUM(L76:L77)</f>
        <v>1170720</v>
      </c>
      <c r="M75" s="324">
        <f>SUM(M76:M77)</f>
        <v>1170720</v>
      </c>
      <c r="N75" s="168"/>
      <c r="O75" s="168"/>
      <c r="P75" s="325">
        <f>SUM(P76:P77)</f>
        <v>5000</v>
      </c>
    </row>
    <row r="76" spans="1:16" ht="12">
      <c r="A76" s="1396"/>
      <c r="B76" s="1393"/>
      <c r="C76" s="188">
        <v>801</v>
      </c>
      <c r="D76" s="189">
        <v>80104</v>
      </c>
      <c r="E76" s="202">
        <v>5000</v>
      </c>
      <c r="F76" s="109">
        <f>SUM(G76:H76)</f>
        <v>1168020</v>
      </c>
      <c r="G76" s="166">
        <v>281020</v>
      </c>
      <c r="H76" s="109">
        <f>SUM(I76:K76)</f>
        <v>887000</v>
      </c>
      <c r="I76" s="24">
        <v>887000</v>
      </c>
      <c r="J76" s="24"/>
      <c r="K76" s="24"/>
      <c r="L76" s="298">
        <f>SUM(E76+F76-P76)</f>
        <v>1168020</v>
      </c>
      <c r="M76" s="179">
        <v>1168020</v>
      </c>
      <c r="N76" s="24"/>
      <c r="O76" s="24"/>
      <c r="P76" s="111">
        <v>5000</v>
      </c>
    </row>
    <row r="77" spans="1:16" ht="13.5" customHeight="1">
      <c r="A77" s="1396"/>
      <c r="B77" s="1394"/>
      <c r="C77" s="188">
        <v>801</v>
      </c>
      <c r="D77" s="189">
        <v>80146</v>
      </c>
      <c r="E77" s="306">
        <v>0</v>
      </c>
      <c r="F77" s="109">
        <f>SUM(G77:H77)</f>
        <v>2700</v>
      </c>
      <c r="G77" s="166"/>
      <c r="H77" s="109">
        <f>SUM(I77:K77)</f>
        <v>2700</v>
      </c>
      <c r="I77" s="24">
        <v>2700</v>
      </c>
      <c r="J77" s="24"/>
      <c r="K77" s="24"/>
      <c r="L77" s="298">
        <f>SUM(E77+F77-P77)</f>
        <v>2700</v>
      </c>
      <c r="M77" s="179">
        <v>2700</v>
      </c>
      <c r="N77" s="24"/>
      <c r="O77" s="24"/>
      <c r="P77" s="111">
        <v>0</v>
      </c>
    </row>
    <row r="78" spans="1:16" ht="13.5" customHeight="1">
      <c r="A78" s="1395" t="s">
        <v>652</v>
      </c>
      <c r="B78" s="72" t="s">
        <v>40</v>
      </c>
      <c r="C78" s="1355" t="s">
        <v>393</v>
      </c>
      <c r="D78" s="1356"/>
      <c r="E78" s="176">
        <f>SUM(E79:E80)</f>
        <v>20000</v>
      </c>
      <c r="F78" s="168">
        <f>SUM(F79:F80)</f>
        <v>1235300</v>
      </c>
      <c r="G78" s="193">
        <f>SUM(G79:G80)</f>
        <v>188000</v>
      </c>
      <c r="H78" s="168">
        <f>SUM(I78)</f>
        <v>1047300</v>
      </c>
      <c r="I78" s="168">
        <f>SUM(I79:I80)</f>
        <v>1047300</v>
      </c>
      <c r="J78" s="168">
        <f>SUM(J79:J80)</f>
        <v>0</v>
      </c>
      <c r="K78" s="168">
        <f>SUM(K79:K80)</f>
        <v>0</v>
      </c>
      <c r="L78" s="194">
        <f>SUM(L79:L80)</f>
        <v>1235300</v>
      </c>
      <c r="M78" s="324">
        <f>SUM(M79:M80)</f>
        <v>1235300</v>
      </c>
      <c r="N78" s="168"/>
      <c r="O78" s="168"/>
      <c r="P78" s="325">
        <f>SUM(P79:P80)</f>
        <v>20000</v>
      </c>
    </row>
    <row r="79" spans="1:16" ht="13.5" customHeight="1">
      <c r="A79" s="1396"/>
      <c r="B79" s="1393"/>
      <c r="C79" s="188">
        <v>801</v>
      </c>
      <c r="D79" s="189">
        <v>80104</v>
      </c>
      <c r="E79" s="202">
        <v>20000</v>
      </c>
      <c r="F79" s="109">
        <f>SUM(G79:H79)</f>
        <v>1232000</v>
      </c>
      <c r="G79" s="166">
        <v>188000</v>
      </c>
      <c r="H79" s="109">
        <f>SUM(I79:K79)</f>
        <v>1044000</v>
      </c>
      <c r="I79" s="24">
        <v>1044000</v>
      </c>
      <c r="J79" s="24"/>
      <c r="K79" s="24"/>
      <c r="L79" s="298">
        <f>SUM(E79+F79-P79)</f>
        <v>1232000</v>
      </c>
      <c r="M79" s="179">
        <v>1232000</v>
      </c>
      <c r="N79" s="24"/>
      <c r="O79" s="24"/>
      <c r="P79" s="111">
        <v>20000</v>
      </c>
    </row>
    <row r="80" spans="1:16" ht="13.5" customHeight="1">
      <c r="A80" s="1396"/>
      <c r="B80" s="1394"/>
      <c r="C80" s="188">
        <v>801</v>
      </c>
      <c r="D80" s="189">
        <v>80146</v>
      </c>
      <c r="E80" s="306">
        <v>0</v>
      </c>
      <c r="F80" s="109">
        <f>SUM(G80:H80)</f>
        <v>3300</v>
      </c>
      <c r="G80" s="166"/>
      <c r="H80" s="109">
        <f>SUM(I80:K80)</f>
        <v>3300</v>
      </c>
      <c r="I80" s="24">
        <v>3300</v>
      </c>
      <c r="J80" s="24"/>
      <c r="K80" s="24"/>
      <c r="L80" s="298">
        <f>SUM(E80+F80-P80)</f>
        <v>3300</v>
      </c>
      <c r="M80" s="179">
        <v>3300</v>
      </c>
      <c r="N80" s="24"/>
      <c r="O80" s="24"/>
      <c r="P80" s="111">
        <v>0</v>
      </c>
    </row>
    <row r="81" spans="1:16" ht="13.5" customHeight="1">
      <c r="A81" s="1395" t="s">
        <v>43</v>
      </c>
      <c r="B81" s="72" t="s">
        <v>41</v>
      </c>
      <c r="C81" s="1355" t="s">
        <v>393</v>
      </c>
      <c r="D81" s="1356"/>
      <c r="E81" s="176">
        <f>SUM(E82:E83)</f>
        <v>15000</v>
      </c>
      <c r="F81" s="168">
        <f>SUM(F82:F83)</f>
        <v>1143400</v>
      </c>
      <c r="G81" s="193">
        <f>SUM(G82:G83)</f>
        <v>253700</v>
      </c>
      <c r="H81" s="168">
        <f>SUM(I81)</f>
        <v>889700</v>
      </c>
      <c r="I81" s="168">
        <f>SUM(I82:I83)</f>
        <v>889700</v>
      </c>
      <c r="J81" s="168">
        <f>SUM(J82:J83)</f>
        <v>0</v>
      </c>
      <c r="K81" s="168">
        <f>SUM(K82:K83)</f>
        <v>0</v>
      </c>
      <c r="L81" s="194">
        <f>SUM(L82:L83)</f>
        <v>1143400</v>
      </c>
      <c r="M81" s="324">
        <f>SUM(M82:M83)</f>
        <v>1143400</v>
      </c>
      <c r="N81" s="168"/>
      <c r="O81" s="168"/>
      <c r="P81" s="325">
        <f>SUM(P82:P83)</f>
        <v>15000</v>
      </c>
    </row>
    <row r="82" spans="1:16" ht="13.5" customHeight="1">
      <c r="A82" s="1396"/>
      <c r="B82" s="1393"/>
      <c r="C82" s="188">
        <v>801</v>
      </c>
      <c r="D82" s="189">
        <v>80104</v>
      </c>
      <c r="E82" s="202">
        <v>15000</v>
      </c>
      <c r="F82" s="109">
        <f>SUM(G82:H82)</f>
        <v>1140700</v>
      </c>
      <c r="G82" s="166">
        <v>253700</v>
      </c>
      <c r="H82" s="109">
        <f>SUM(I82:K82)</f>
        <v>887000</v>
      </c>
      <c r="I82" s="24">
        <v>887000</v>
      </c>
      <c r="J82" s="24"/>
      <c r="K82" s="24"/>
      <c r="L82" s="298">
        <f>SUM(E82+F82-P82)</f>
        <v>1140700</v>
      </c>
      <c r="M82" s="179">
        <v>1140700</v>
      </c>
      <c r="N82" s="24"/>
      <c r="O82" s="24"/>
      <c r="P82" s="111">
        <v>15000</v>
      </c>
    </row>
    <row r="83" spans="1:16" ht="13.5" customHeight="1">
      <c r="A83" s="1396"/>
      <c r="B83" s="1426"/>
      <c r="C83" s="188">
        <v>801</v>
      </c>
      <c r="D83" s="189">
        <v>80146</v>
      </c>
      <c r="E83" s="306">
        <v>0</v>
      </c>
      <c r="F83" s="109">
        <f>SUM(G83:H83)</f>
        <v>2700</v>
      </c>
      <c r="G83" s="166"/>
      <c r="H83" s="109">
        <f>SUM(I83:K83)</f>
        <v>2700</v>
      </c>
      <c r="I83" s="24">
        <v>2700</v>
      </c>
      <c r="J83" s="24"/>
      <c r="K83" s="24"/>
      <c r="L83" s="298">
        <f>SUM(E83+F83-P83)</f>
        <v>2700</v>
      </c>
      <c r="M83" s="179">
        <v>2700</v>
      </c>
      <c r="N83" s="24"/>
      <c r="O83" s="24"/>
      <c r="P83" s="111">
        <v>0</v>
      </c>
    </row>
    <row r="84" spans="1:16" ht="13.5" customHeight="1">
      <c r="A84" s="1395" t="s">
        <v>44</v>
      </c>
      <c r="B84" s="72" t="s">
        <v>42</v>
      </c>
      <c r="C84" s="1355" t="s">
        <v>393</v>
      </c>
      <c r="D84" s="1356"/>
      <c r="E84" s="176">
        <f>SUM(E85:E86)</f>
        <v>20000</v>
      </c>
      <c r="F84" s="168">
        <f>SUM(F85:F86)</f>
        <v>1202800</v>
      </c>
      <c r="G84" s="193">
        <f>SUM(G85:G86)</f>
        <v>254100</v>
      </c>
      <c r="H84" s="168">
        <f>SUM(I84)</f>
        <v>948700</v>
      </c>
      <c r="I84" s="168">
        <f>SUM(I85:I86)</f>
        <v>948700</v>
      </c>
      <c r="J84" s="168">
        <f>SUM(J85:J86)</f>
        <v>0</v>
      </c>
      <c r="K84" s="168">
        <f>SUM(K85:K86)</f>
        <v>0</v>
      </c>
      <c r="L84" s="194">
        <f>SUM(L85:L86)</f>
        <v>1202800</v>
      </c>
      <c r="M84" s="324">
        <f>SUM(M85:M86)</f>
        <v>1202800</v>
      </c>
      <c r="N84" s="168"/>
      <c r="O84" s="168"/>
      <c r="P84" s="325">
        <f>SUM(P85:P86)</f>
        <v>20000</v>
      </c>
    </row>
    <row r="85" spans="1:16" ht="13.5" customHeight="1">
      <c r="A85" s="1396"/>
      <c r="B85" s="1393"/>
      <c r="C85" s="188">
        <v>801</v>
      </c>
      <c r="D85" s="189">
        <v>80104</v>
      </c>
      <c r="E85" s="202">
        <v>20000</v>
      </c>
      <c r="F85" s="109">
        <f>SUM(G85:H85)</f>
        <v>1200100</v>
      </c>
      <c r="G85" s="166">
        <v>254100</v>
      </c>
      <c r="H85" s="109">
        <f>SUM(I85:K85)</f>
        <v>946000</v>
      </c>
      <c r="I85" s="24">
        <v>946000</v>
      </c>
      <c r="J85" s="24"/>
      <c r="K85" s="24"/>
      <c r="L85" s="298">
        <f>SUM(E85+F85-P85)</f>
        <v>1200100</v>
      </c>
      <c r="M85" s="179">
        <v>1200100</v>
      </c>
      <c r="N85" s="24"/>
      <c r="O85" s="24"/>
      <c r="P85" s="111">
        <v>20000</v>
      </c>
    </row>
    <row r="86" spans="1:16" ht="13.5" customHeight="1">
      <c r="A86" s="1427"/>
      <c r="B86" s="1426"/>
      <c r="C86" s="188">
        <v>801</v>
      </c>
      <c r="D86" s="189">
        <v>80146</v>
      </c>
      <c r="E86" s="306">
        <v>0</v>
      </c>
      <c r="F86" s="109">
        <f>SUM(G86:H86)</f>
        <v>2700</v>
      </c>
      <c r="G86" s="166"/>
      <c r="H86" s="109">
        <f>SUM(I86:K86)</f>
        <v>2700</v>
      </c>
      <c r="I86" s="24">
        <v>2700</v>
      </c>
      <c r="J86" s="24"/>
      <c r="K86" s="24"/>
      <c r="L86" s="298">
        <f>SUM(E86+F86-P86)</f>
        <v>2700</v>
      </c>
      <c r="M86" s="179">
        <v>2700</v>
      </c>
      <c r="N86" s="24"/>
      <c r="O86" s="24"/>
      <c r="P86" s="111">
        <v>0</v>
      </c>
    </row>
    <row r="87" spans="1:16" ht="13.5" customHeight="1">
      <c r="A87" s="1396" t="s">
        <v>45</v>
      </c>
      <c r="B87" s="73" t="s">
        <v>33</v>
      </c>
      <c r="C87" s="1357" t="s">
        <v>393</v>
      </c>
      <c r="D87" s="1358"/>
      <c r="E87" s="195">
        <f aca="true" t="shared" si="18" ref="E87:M87">SUM(E88:E89)</f>
        <v>16000</v>
      </c>
      <c r="F87" s="326">
        <f t="shared" si="18"/>
        <v>1263300</v>
      </c>
      <c r="G87" s="327">
        <f t="shared" si="18"/>
        <v>295600</v>
      </c>
      <c r="H87" s="326">
        <f t="shared" si="18"/>
        <v>967700</v>
      </c>
      <c r="I87" s="326">
        <f t="shared" si="18"/>
        <v>967700</v>
      </c>
      <c r="J87" s="326">
        <f t="shared" si="18"/>
        <v>0</v>
      </c>
      <c r="K87" s="326">
        <f t="shared" si="18"/>
        <v>0</v>
      </c>
      <c r="L87" s="196">
        <f t="shared" si="18"/>
        <v>1263300</v>
      </c>
      <c r="M87" s="877">
        <f t="shared" si="18"/>
        <v>1263300</v>
      </c>
      <c r="N87" s="326"/>
      <c r="O87" s="326"/>
      <c r="P87" s="328">
        <f>SUM(P88:P89)</f>
        <v>16000</v>
      </c>
    </row>
    <row r="88" spans="1:16" ht="13.5" customHeight="1">
      <c r="A88" s="1396"/>
      <c r="B88" s="1388"/>
      <c r="C88" s="188">
        <v>801</v>
      </c>
      <c r="D88" s="189">
        <v>80104</v>
      </c>
      <c r="E88" s="108">
        <v>16000</v>
      </c>
      <c r="F88" s="109">
        <f>SUM(G88:H88)</f>
        <v>1251600</v>
      </c>
      <c r="G88" s="166">
        <v>295600</v>
      </c>
      <c r="H88" s="24">
        <v>956000</v>
      </c>
      <c r="I88" s="24">
        <v>956000</v>
      </c>
      <c r="J88" s="24">
        <v>0</v>
      </c>
      <c r="K88" s="24"/>
      <c r="L88" s="298">
        <f>SUM(E88+F88-P88)</f>
        <v>1251600</v>
      </c>
      <c r="M88" s="179">
        <v>1251600</v>
      </c>
      <c r="N88" s="24"/>
      <c r="O88" s="24"/>
      <c r="P88" s="111">
        <v>16000</v>
      </c>
    </row>
    <row r="89" spans="1:16" ht="12.75" thickBot="1">
      <c r="A89" s="1428"/>
      <c r="B89" s="1429"/>
      <c r="C89" s="190">
        <v>801</v>
      </c>
      <c r="D89" s="191">
        <v>80146</v>
      </c>
      <c r="E89" s="309">
        <v>0</v>
      </c>
      <c r="F89" s="115">
        <f>SUM(G89:H89)</f>
        <v>11700</v>
      </c>
      <c r="G89" s="292"/>
      <c r="H89" s="25">
        <f>SUM(I89:K89)</f>
        <v>11700</v>
      </c>
      <c r="I89" s="25">
        <v>11700</v>
      </c>
      <c r="J89" s="25"/>
      <c r="K89" s="25"/>
      <c r="L89" s="304">
        <f>SUM(E89+F89-P89)</f>
        <v>11700</v>
      </c>
      <c r="M89" s="878">
        <v>11700</v>
      </c>
      <c r="N89" s="25"/>
      <c r="O89" s="25"/>
      <c r="P89" s="205">
        <v>0</v>
      </c>
    </row>
    <row r="90" spans="1:16" ht="12.75" thickBot="1">
      <c r="A90" s="650">
        <v>1</v>
      </c>
      <c r="B90" s="651">
        <v>2</v>
      </c>
      <c r="C90" s="650">
        <v>3</v>
      </c>
      <c r="D90" s="652">
        <v>4</v>
      </c>
      <c r="E90" s="653">
        <v>5</v>
      </c>
      <c r="F90" s="654">
        <v>6</v>
      </c>
      <c r="G90" s="655">
        <v>7</v>
      </c>
      <c r="H90" s="654">
        <v>8</v>
      </c>
      <c r="I90" s="654">
        <v>9</v>
      </c>
      <c r="J90" s="654">
        <v>10</v>
      </c>
      <c r="K90" s="654">
        <v>11</v>
      </c>
      <c r="L90" s="656">
        <v>12</v>
      </c>
      <c r="M90" s="651">
        <v>13</v>
      </c>
      <c r="N90" s="654">
        <v>14</v>
      </c>
      <c r="O90" s="654">
        <v>15</v>
      </c>
      <c r="P90" s="657">
        <v>16</v>
      </c>
    </row>
    <row r="91" spans="1:16" ht="12">
      <c r="A91" s="1395" t="s">
        <v>46</v>
      </c>
      <c r="B91" s="72" t="s">
        <v>35</v>
      </c>
      <c r="C91" s="1355" t="s">
        <v>393</v>
      </c>
      <c r="D91" s="1356"/>
      <c r="E91" s="192">
        <f aca="true" t="shared" si="19" ref="E91:P91">SUM(E92:E93)</f>
        <v>10000</v>
      </c>
      <c r="F91" s="168">
        <f t="shared" si="19"/>
        <v>557700</v>
      </c>
      <c r="G91" s="193">
        <f t="shared" si="19"/>
        <v>117600</v>
      </c>
      <c r="H91" s="168">
        <f t="shared" si="19"/>
        <v>440100</v>
      </c>
      <c r="I91" s="168">
        <f t="shared" si="19"/>
        <v>440100</v>
      </c>
      <c r="J91" s="168">
        <f t="shared" si="19"/>
        <v>0</v>
      </c>
      <c r="K91" s="168">
        <f t="shared" si="19"/>
        <v>0</v>
      </c>
      <c r="L91" s="194">
        <f t="shared" si="19"/>
        <v>557700</v>
      </c>
      <c r="M91" s="324">
        <f t="shared" si="19"/>
        <v>557700</v>
      </c>
      <c r="N91" s="168"/>
      <c r="O91" s="168"/>
      <c r="P91" s="325">
        <f t="shared" si="19"/>
        <v>10000</v>
      </c>
    </row>
    <row r="92" spans="1:16" ht="12">
      <c r="A92" s="1396"/>
      <c r="B92" s="1388"/>
      <c r="C92" s="188">
        <v>801</v>
      </c>
      <c r="D92" s="189">
        <v>80104</v>
      </c>
      <c r="E92" s="108">
        <v>10000</v>
      </c>
      <c r="F92" s="109">
        <f>SUM(G92:H92)</f>
        <v>556600</v>
      </c>
      <c r="G92" s="166">
        <v>117600</v>
      </c>
      <c r="H92" s="24">
        <f>SUM(I92:K92)</f>
        <v>439000</v>
      </c>
      <c r="I92" s="24">
        <v>439000</v>
      </c>
      <c r="J92" s="24"/>
      <c r="K92" s="24"/>
      <c r="L92" s="298">
        <f>SUM(E92+F92-P92)</f>
        <v>556600</v>
      </c>
      <c r="M92" s="179">
        <v>556600</v>
      </c>
      <c r="N92" s="24"/>
      <c r="O92" s="24"/>
      <c r="P92" s="111">
        <v>10000</v>
      </c>
    </row>
    <row r="93" spans="1:16" ht="12">
      <c r="A93" s="1396"/>
      <c r="B93" s="1389"/>
      <c r="C93" s="188">
        <v>801</v>
      </c>
      <c r="D93" s="189">
        <v>80146</v>
      </c>
      <c r="E93" s="306">
        <v>0</v>
      </c>
      <c r="F93" s="109">
        <f>SUM(G93:H93)</f>
        <v>1100</v>
      </c>
      <c r="G93" s="166"/>
      <c r="H93" s="24">
        <f>SUM(I93:K93)</f>
        <v>1100</v>
      </c>
      <c r="I93" s="24">
        <v>1100</v>
      </c>
      <c r="J93" s="24"/>
      <c r="K93" s="24"/>
      <c r="L93" s="298">
        <f>SUM(E93+F93-P93)</f>
        <v>1100</v>
      </c>
      <c r="M93" s="179">
        <v>1100</v>
      </c>
      <c r="N93" s="24"/>
      <c r="O93" s="24"/>
      <c r="P93" s="111">
        <v>0</v>
      </c>
    </row>
    <row r="94" spans="1:16" ht="12">
      <c r="A94" s="1395" t="s">
        <v>47</v>
      </c>
      <c r="B94" s="72" t="s">
        <v>36</v>
      </c>
      <c r="C94" s="1355" t="s">
        <v>393</v>
      </c>
      <c r="D94" s="1356"/>
      <c r="E94" s="195">
        <f aca="true" t="shared" si="20" ref="E94:P94">SUM(E95:E96)</f>
        <v>6000</v>
      </c>
      <c r="F94" s="168">
        <f t="shared" si="20"/>
        <v>716440</v>
      </c>
      <c r="G94" s="193">
        <f t="shared" si="20"/>
        <v>131540</v>
      </c>
      <c r="H94" s="168">
        <f t="shared" si="20"/>
        <v>584900</v>
      </c>
      <c r="I94" s="168">
        <f t="shared" si="20"/>
        <v>584900</v>
      </c>
      <c r="J94" s="168">
        <f t="shared" si="20"/>
        <v>0</v>
      </c>
      <c r="K94" s="168">
        <f t="shared" si="20"/>
        <v>0</v>
      </c>
      <c r="L94" s="194">
        <f t="shared" si="20"/>
        <v>716440</v>
      </c>
      <c r="M94" s="324">
        <f t="shared" si="20"/>
        <v>716440</v>
      </c>
      <c r="N94" s="168"/>
      <c r="O94" s="168"/>
      <c r="P94" s="325">
        <f t="shared" si="20"/>
        <v>6000</v>
      </c>
    </row>
    <row r="95" spans="1:16" ht="12">
      <c r="A95" s="1396"/>
      <c r="B95" s="1393"/>
      <c r="C95" s="188">
        <v>801</v>
      </c>
      <c r="D95" s="189">
        <v>80104</v>
      </c>
      <c r="E95" s="108">
        <v>6000</v>
      </c>
      <c r="F95" s="109">
        <f>SUM(G95:H95)</f>
        <v>714940</v>
      </c>
      <c r="G95" s="166">
        <v>131540</v>
      </c>
      <c r="H95" s="24">
        <f>SUM(I95:K95)</f>
        <v>583400</v>
      </c>
      <c r="I95" s="24">
        <v>583400</v>
      </c>
      <c r="J95" s="24"/>
      <c r="K95" s="179"/>
      <c r="L95" s="298">
        <f>SUM(E95+F95-P95)</f>
        <v>714940</v>
      </c>
      <c r="M95" s="179">
        <v>714940</v>
      </c>
      <c r="N95" s="24"/>
      <c r="O95" s="24"/>
      <c r="P95" s="111">
        <v>6000</v>
      </c>
    </row>
    <row r="96" spans="1:16" ht="12.75" thickBot="1">
      <c r="A96" s="1396"/>
      <c r="B96" s="1394"/>
      <c r="C96" s="188">
        <v>801</v>
      </c>
      <c r="D96" s="191">
        <v>80146</v>
      </c>
      <c r="E96" s="309">
        <v>0</v>
      </c>
      <c r="F96" s="115">
        <f>SUM(G96:H96)</f>
        <v>1500</v>
      </c>
      <c r="G96" s="292"/>
      <c r="H96" s="25">
        <f>SUM(I96:K96)</f>
        <v>1500</v>
      </c>
      <c r="I96" s="25">
        <v>1500</v>
      </c>
      <c r="J96" s="25"/>
      <c r="K96" s="878"/>
      <c r="L96" s="304">
        <f>SUM(E96+F96-P96)</f>
        <v>1500</v>
      </c>
      <c r="M96" s="878">
        <v>1500</v>
      </c>
      <c r="N96" s="25"/>
      <c r="O96" s="25"/>
      <c r="P96" s="205">
        <v>0</v>
      </c>
    </row>
    <row r="97" spans="1:16" s="119" customFormat="1" ht="13.5" customHeight="1">
      <c r="A97" s="1397"/>
      <c r="B97" s="485" t="s">
        <v>54</v>
      </c>
      <c r="C97" s="486"/>
      <c r="D97" s="481"/>
      <c r="E97" s="464">
        <f>E98+E99+E100</f>
        <v>135000</v>
      </c>
      <c r="F97" s="464">
        <f aca="true" t="shared" si="21" ref="F97:P97">F98+F99+F100</f>
        <v>9107570</v>
      </c>
      <c r="G97" s="464">
        <f t="shared" si="21"/>
        <v>88340</v>
      </c>
      <c r="H97" s="464">
        <f t="shared" si="21"/>
        <v>9019230</v>
      </c>
      <c r="I97" s="464">
        <f t="shared" si="21"/>
        <v>9019230</v>
      </c>
      <c r="J97" s="464">
        <f t="shared" si="21"/>
        <v>0</v>
      </c>
      <c r="K97" s="473">
        <f t="shared" si="21"/>
        <v>0</v>
      </c>
      <c r="L97" s="477">
        <f t="shared" si="21"/>
        <v>9107570</v>
      </c>
      <c r="M97" s="464">
        <f t="shared" si="21"/>
        <v>9107570</v>
      </c>
      <c r="N97" s="464">
        <f t="shared" si="21"/>
        <v>0</v>
      </c>
      <c r="O97" s="464">
        <f t="shared" si="21"/>
        <v>0</v>
      </c>
      <c r="P97" s="464">
        <f t="shared" si="21"/>
        <v>135000</v>
      </c>
    </row>
    <row r="98" spans="1:16" s="119" customFormat="1" ht="13.5" customHeight="1">
      <c r="A98" s="1398"/>
      <c r="B98" s="1399"/>
      <c r="C98" s="480">
        <v>801</v>
      </c>
      <c r="D98" s="481">
        <v>80110</v>
      </c>
      <c r="E98" s="464">
        <f aca="true" t="shared" si="22" ref="E98:P100">SUM(E102,E106,E110,E114,E118)</f>
        <v>135000</v>
      </c>
      <c r="F98" s="464">
        <f t="shared" si="22"/>
        <v>9017640</v>
      </c>
      <c r="G98" s="470">
        <f t="shared" si="22"/>
        <v>88340</v>
      </c>
      <c r="H98" s="466">
        <f t="shared" si="22"/>
        <v>8929300</v>
      </c>
      <c r="I98" s="466">
        <f t="shared" si="22"/>
        <v>8929300</v>
      </c>
      <c r="J98" s="466">
        <f t="shared" si="22"/>
        <v>0</v>
      </c>
      <c r="K98" s="467">
        <f t="shared" si="22"/>
        <v>0</v>
      </c>
      <c r="L98" s="1224">
        <f t="shared" si="22"/>
        <v>9017640</v>
      </c>
      <c r="M98" s="467">
        <f t="shared" si="22"/>
        <v>9017640</v>
      </c>
      <c r="N98" s="467">
        <f t="shared" si="22"/>
        <v>0</v>
      </c>
      <c r="O98" s="466"/>
      <c r="P98" s="484">
        <f t="shared" si="22"/>
        <v>135000</v>
      </c>
    </row>
    <row r="99" spans="1:16" s="119" customFormat="1" ht="13.5" customHeight="1">
      <c r="A99" s="1398"/>
      <c r="B99" s="1400"/>
      <c r="C99" s="480">
        <v>801</v>
      </c>
      <c r="D99" s="481">
        <v>80146</v>
      </c>
      <c r="E99" s="464">
        <f t="shared" si="22"/>
        <v>0</v>
      </c>
      <c r="F99" s="464">
        <f t="shared" si="22"/>
        <v>54500</v>
      </c>
      <c r="G99" s="470">
        <f t="shared" si="22"/>
        <v>0</v>
      </c>
      <c r="H99" s="466">
        <f t="shared" si="22"/>
        <v>54500</v>
      </c>
      <c r="I99" s="466">
        <f t="shared" si="22"/>
        <v>54500</v>
      </c>
      <c r="J99" s="466">
        <f t="shared" si="22"/>
        <v>0</v>
      </c>
      <c r="K99" s="467">
        <f t="shared" si="22"/>
        <v>0</v>
      </c>
      <c r="L99" s="1224">
        <f t="shared" si="22"/>
        <v>54500</v>
      </c>
      <c r="M99" s="467">
        <f t="shared" si="22"/>
        <v>54500</v>
      </c>
      <c r="N99" s="467">
        <f t="shared" si="22"/>
        <v>0</v>
      </c>
      <c r="O99" s="466"/>
      <c r="P99" s="484">
        <f t="shared" si="22"/>
        <v>0</v>
      </c>
    </row>
    <row r="100" spans="1:16" s="119" customFormat="1" ht="13.5" customHeight="1">
      <c r="A100" s="487"/>
      <c r="B100" s="488"/>
      <c r="C100" s="480">
        <v>854</v>
      </c>
      <c r="D100" s="481">
        <v>85415</v>
      </c>
      <c r="E100" s="464">
        <f t="shared" si="22"/>
        <v>0</v>
      </c>
      <c r="F100" s="464">
        <f t="shared" si="22"/>
        <v>35430</v>
      </c>
      <c r="G100" s="470">
        <f t="shared" si="22"/>
        <v>0</v>
      </c>
      <c r="H100" s="466">
        <f t="shared" si="22"/>
        <v>35430</v>
      </c>
      <c r="I100" s="466">
        <f t="shared" si="22"/>
        <v>35430</v>
      </c>
      <c r="J100" s="470">
        <f t="shared" si="22"/>
        <v>0</v>
      </c>
      <c r="K100" s="467">
        <f t="shared" si="22"/>
        <v>0</v>
      </c>
      <c r="L100" s="1224">
        <f t="shared" si="22"/>
        <v>35430</v>
      </c>
      <c r="M100" s="467">
        <f t="shared" si="22"/>
        <v>35430</v>
      </c>
      <c r="N100" s="467">
        <f t="shared" si="22"/>
        <v>0</v>
      </c>
      <c r="O100" s="466"/>
      <c r="P100" s="484">
        <f t="shared" si="22"/>
        <v>0</v>
      </c>
    </row>
    <row r="101" spans="1:16" ht="13.5" customHeight="1">
      <c r="A101" s="1395" t="s">
        <v>48</v>
      </c>
      <c r="B101" s="72" t="s">
        <v>29</v>
      </c>
      <c r="C101" s="1355" t="s">
        <v>393</v>
      </c>
      <c r="D101" s="1356"/>
      <c r="E101" s="195">
        <f aca="true" t="shared" si="23" ref="E101:P101">SUM(E102:E104)</f>
        <v>56000</v>
      </c>
      <c r="F101" s="168">
        <f t="shared" si="23"/>
        <v>2895510</v>
      </c>
      <c r="G101" s="195">
        <f t="shared" si="23"/>
        <v>18330</v>
      </c>
      <c r="H101" s="168">
        <f t="shared" si="23"/>
        <v>2877180</v>
      </c>
      <c r="I101" s="168">
        <f t="shared" si="23"/>
        <v>2877180</v>
      </c>
      <c r="J101" s="193">
        <f t="shared" si="23"/>
        <v>0</v>
      </c>
      <c r="K101" s="195">
        <f t="shared" si="23"/>
        <v>0</v>
      </c>
      <c r="L101" s="196">
        <f t="shared" si="23"/>
        <v>2895510</v>
      </c>
      <c r="M101" s="324">
        <f t="shared" si="23"/>
        <v>2895510</v>
      </c>
      <c r="N101" s="326"/>
      <c r="O101" s="326"/>
      <c r="P101" s="185">
        <f t="shared" si="23"/>
        <v>56000</v>
      </c>
    </row>
    <row r="102" spans="1:16" ht="13.5" customHeight="1">
      <c r="A102" s="1396"/>
      <c r="B102" s="1388"/>
      <c r="C102" s="188">
        <v>801</v>
      </c>
      <c r="D102" s="189">
        <v>80110</v>
      </c>
      <c r="E102" s="108">
        <v>56000</v>
      </c>
      <c r="F102" s="109">
        <f>SUM(G102:H102)</f>
        <v>2858330</v>
      </c>
      <c r="G102" s="163">
        <v>18330</v>
      </c>
      <c r="H102" s="24">
        <f>SUM(I102:K102)</f>
        <v>2840000</v>
      </c>
      <c r="I102" s="24">
        <f>2840000</f>
        <v>2840000</v>
      </c>
      <c r="J102" s="166"/>
      <c r="K102" s="163"/>
      <c r="L102" s="298">
        <f>SUM(E102+F102-P102)</f>
        <v>2858330</v>
      </c>
      <c r="M102" s="179">
        <f>L102</f>
        <v>2858330</v>
      </c>
      <c r="N102" s="24"/>
      <c r="O102" s="24"/>
      <c r="P102" s="111">
        <v>56000</v>
      </c>
    </row>
    <row r="103" spans="1:16" ht="13.5" customHeight="1">
      <c r="A103" s="1396"/>
      <c r="B103" s="1389"/>
      <c r="C103" s="188">
        <v>801</v>
      </c>
      <c r="D103" s="189">
        <v>80146</v>
      </c>
      <c r="E103" s="293">
        <v>0</v>
      </c>
      <c r="F103" s="109">
        <f>SUM(G103:H103)</f>
        <v>27700</v>
      </c>
      <c r="G103" s="299"/>
      <c r="H103" s="24">
        <f>SUM(I103:K103)</f>
        <v>27700</v>
      </c>
      <c r="I103" s="24">
        <v>27700</v>
      </c>
      <c r="J103" s="166"/>
      <c r="K103" s="163"/>
      <c r="L103" s="298">
        <f>SUM(E103+F103-P103)</f>
        <v>27700</v>
      </c>
      <c r="M103" s="179">
        <f>L103</f>
        <v>27700</v>
      </c>
      <c r="N103" s="24"/>
      <c r="O103" s="24"/>
      <c r="P103" s="111">
        <v>0</v>
      </c>
    </row>
    <row r="104" spans="1:16" ht="13.5" customHeight="1">
      <c r="A104" s="118"/>
      <c r="B104" s="1390"/>
      <c r="C104" s="188">
        <v>854</v>
      </c>
      <c r="D104" s="189">
        <v>85415</v>
      </c>
      <c r="E104" s="294">
        <v>0</v>
      </c>
      <c r="F104" s="109">
        <f>SUM(G104:H104)</f>
        <v>9480</v>
      </c>
      <c r="G104" s="300"/>
      <c r="H104" s="24">
        <f>SUM(I104:K104)</f>
        <v>9480</v>
      </c>
      <c r="I104" s="24">
        <v>9480</v>
      </c>
      <c r="J104" s="166"/>
      <c r="K104" s="163"/>
      <c r="L104" s="298">
        <f>SUM(E104+F104-P104)</f>
        <v>9480</v>
      </c>
      <c r="M104" s="179">
        <f>L104</f>
        <v>9480</v>
      </c>
      <c r="N104" s="24"/>
      <c r="O104" s="24"/>
      <c r="P104" s="111">
        <v>0</v>
      </c>
    </row>
    <row r="105" spans="1:16" ht="13.5" customHeight="1">
      <c r="A105" s="1395" t="s">
        <v>49</v>
      </c>
      <c r="B105" s="911" t="s">
        <v>101</v>
      </c>
      <c r="C105" s="1355" t="s">
        <v>393</v>
      </c>
      <c r="D105" s="1356"/>
      <c r="E105" s="192">
        <f aca="true" t="shared" si="24" ref="E105:P105">SUM(E106:E108)</f>
        <v>34000</v>
      </c>
      <c r="F105" s="168">
        <f t="shared" si="24"/>
        <v>2751610</v>
      </c>
      <c r="G105" s="192">
        <f t="shared" si="24"/>
        <v>55310</v>
      </c>
      <c r="H105" s="168">
        <f t="shared" si="24"/>
        <v>2696300</v>
      </c>
      <c r="I105" s="168">
        <f t="shared" si="24"/>
        <v>2696300</v>
      </c>
      <c r="J105" s="193">
        <f t="shared" si="24"/>
        <v>0</v>
      </c>
      <c r="K105" s="192">
        <f t="shared" si="24"/>
        <v>0</v>
      </c>
      <c r="L105" s="194">
        <f t="shared" si="24"/>
        <v>2751610</v>
      </c>
      <c r="M105" s="324">
        <f t="shared" si="24"/>
        <v>2751610</v>
      </c>
      <c r="N105" s="324">
        <f t="shared" si="24"/>
        <v>0</v>
      </c>
      <c r="O105" s="168"/>
      <c r="P105" s="187">
        <f t="shared" si="24"/>
        <v>34000</v>
      </c>
    </row>
    <row r="106" spans="1:16" ht="13.5" customHeight="1">
      <c r="A106" s="1396"/>
      <c r="B106" s="912" t="s">
        <v>102</v>
      </c>
      <c r="C106" s="188">
        <v>801</v>
      </c>
      <c r="D106" s="189">
        <v>80110</v>
      </c>
      <c r="E106" s="108">
        <v>34000</v>
      </c>
      <c r="F106" s="109">
        <f>SUM(G106:H106)</f>
        <v>2725810</v>
      </c>
      <c r="G106" s="163">
        <v>55310</v>
      </c>
      <c r="H106" s="24">
        <f>SUM(I106:K106)</f>
        <v>2670500</v>
      </c>
      <c r="I106" s="24">
        <v>2670500</v>
      </c>
      <c r="J106" s="166"/>
      <c r="K106" s="163"/>
      <c r="L106" s="298">
        <f>SUM(E106+F106-P106)</f>
        <v>2725810</v>
      </c>
      <c r="M106" s="179">
        <v>2725810</v>
      </c>
      <c r="N106" s="24"/>
      <c r="O106" s="24"/>
      <c r="P106" s="111">
        <v>34000</v>
      </c>
    </row>
    <row r="107" spans="1:16" ht="13.5" customHeight="1">
      <c r="A107" s="1396"/>
      <c r="B107" s="913"/>
      <c r="C107" s="188">
        <v>801</v>
      </c>
      <c r="D107" s="189">
        <v>80146</v>
      </c>
      <c r="E107" s="293">
        <v>0</v>
      </c>
      <c r="F107" s="109">
        <f>SUM(G107:H107)</f>
        <v>16400</v>
      </c>
      <c r="G107" s="299"/>
      <c r="H107" s="24">
        <f>SUM(I107:K107)</f>
        <v>16400</v>
      </c>
      <c r="I107" s="24">
        <v>16400</v>
      </c>
      <c r="J107" s="166"/>
      <c r="K107" s="163"/>
      <c r="L107" s="298">
        <f>SUM(E107+F107-P107)</f>
        <v>16400</v>
      </c>
      <c r="M107" s="179">
        <v>16400</v>
      </c>
      <c r="N107" s="24"/>
      <c r="O107" s="24"/>
      <c r="P107" s="111">
        <v>0</v>
      </c>
    </row>
    <row r="108" spans="1:16" ht="13.5" customHeight="1">
      <c r="A108" s="118"/>
      <c r="B108" s="914"/>
      <c r="C108" s="188">
        <v>854</v>
      </c>
      <c r="D108" s="189">
        <v>85415</v>
      </c>
      <c r="E108" s="294">
        <v>0</v>
      </c>
      <c r="F108" s="109">
        <f>SUM(G108:H108)</f>
        <v>9400</v>
      </c>
      <c r="G108" s="300"/>
      <c r="H108" s="24">
        <f>SUM(I108:K108)</f>
        <v>9400</v>
      </c>
      <c r="I108" s="24">
        <v>9400</v>
      </c>
      <c r="J108" s="166"/>
      <c r="K108" s="163"/>
      <c r="L108" s="298">
        <f>SUM(E108+F108-P108)</f>
        <v>9400</v>
      </c>
      <c r="M108" s="179">
        <v>9400</v>
      </c>
      <c r="N108" s="24"/>
      <c r="O108" s="24"/>
      <c r="P108" s="111">
        <v>0</v>
      </c>
    </row>
    <row r="109" spans="1:16" ht="13.5" customHeight="1">
      <c r="A109" s="1395" t="s">
        <v>50</v>
      </c>
      <c r="B109" s="72" t="s">
        <v>30</v>
      </c>
      <c r="C109" s="1355" t="s">
        <v>393</v>
      </c>
      <c r="D109" s="1356"/>
      <c r="E109" s="192">
        <f aca="true" t="shared" si="25" ref="E109:P109">SUM(E110:E112)</f>
        <v>34000</v>
      </c>
      <c r="F109" s="168">
        <f t="shared" si="25"/>
        <v>2380700</v>
      </c>
      <c r="G109" s="192">
        <f t="shared" si="25"/>
        <v>14700</v>
      </c>
      <c r="H109" s="168">
        <f t="shared" si="25"/>
        <v>2366000</v>
      </c>
      <c r="I109" s="168">
        <f t="shared" si="25"/>
        <v>2366000</v>
      </c>
      <c r="J109" s="193">
        <f t="shared" si="25"/>
        <v>0</v>
      </c>
      <c r="K109" s="192">
        <f t="shared" si="25"/>
        <v>0</v>
      </c>
      <c r="L109" s="194">
        <f t="shared" si="25"/>
        <v>2380700</v>
      </c>
      <c r="M109" s="324">
        <f t="shared" si="25"/>
        <v>2380700</v>
      </c>
      <c r="N109" s="168"/>
      <c r="O109" s="168"/>
      <c r="P109" s="187">
        <f t="shared" si="25"/>
        <v>34000</v>
      </c>
    </row>
    <row r="110" spans="1:16" ht="13.5" customHeight="1">
      <c r="A110" s="1396"/>
      <c r="B110" s="1388"/>
      <c r="C110" s="188">
        <v>801</v>
      </c>
      <c r="D110" s="189">
        <v>80110</v>
      </c>
      <c r="E110" s="108">
        <v>34000</v>
      </c>
      <c r="F110" s="109">
        <f>SUM(G110:H110)</f>
        <v>2367100</v>
      </c>
      <c r="G110" s="163">
        <v>14700</v>
      </c>
      <c r="H110" s="24">
        <f>SUM(I110:K110)</f>
        <v>2352400</v>
      </c>
      <c r="I110" s="24">
        <f>2351600+800</f>
        <v>2352400</v>
      </c>
      <c r="J110" s="166"/>
      <c r="K110" s="163"/>
      <c r="L110" s="298">
        <f>SUM(E110+F110-P110)</f>
        <v>2367100</v>
      </c>
      <c r="M110" s="179">
        <f>2366300+800</f>
        <v>2367100</v>
      </c>
      <c r="N110" s="24"/>
      <c r="O110" s="24"/>
      <c r="P110" s="111">
        <v>34000</v>
      </c>
    </row>
    <row r="111" spans="1:16" ht="13.5" customHeight="1">
      <c r="A111" s="1396"/>
      <c r="B111" s="1389"/>
      <c r="C111" s="188">
        <v>801</v>
      </c>
      <c r="D111" s="189">
        <v>80146</v>
      </c>
      <c r="E111" s="293">
        <v>0</v>
      </c>
      <c r="F111" s="109">
        <f>SUM(G111:H111)</f>
        <v>6200</v>
      </c>
      <c r="G111" s="299"/>
      <c r="H111" s="24">
        <f>SUM(I111:K111)</f>
        <v>6200</v>
      </c>
      <c r="I111" s="24">
        <v>6200</v>
      </c>
      <c r="J111" s="166"/>
      <c r="K111" s="163"/>
      <c r="L111" s="298">
        <f>SUM(E111+F111-P111)</f>
        <v>6200</v>
      </c>
      <c r="M111" s="179">
        <v>6200</v>
      </c>
      <c r="N111" s="24"/>
      <c r="O111" s="24"/>
      <c r="P111" s="111">
        <v>0</v>
      </c>
    </row>
    <row r="112" spans="1:16" ht="13.5" customHeight="1">
      <c r="A112" s="118"/>
      <c r="B112" s="1390"/>
      <c r="C112" s="188">
        <v>854</v>
      </c>
      <c r="D112" s="189">
        <v>85415</v>
      </c>
      <c r="E112" s="294">
        <v>0</v>
      </c>
      <c r="F112" s="109">
        <f>SUM(G112:H112)</f>
        <v>7400</v>
      </c>
      <c r="G112" s="300"/>
      <c r="H112" s="24">
        <f>SUM(I112:K112)</f>
        <v>7400</v>
      </c>
      <c r="I112" s="24">
        <v>7400</v>
      </c>
      <c r="J112" s="166"/>
      <c r="K112" s="163"/>
      <c r="L112" s="298">
        <f>SUM(E112+F112-P112)</f>
        <v>7400</v>
      </c>
      <c r="M112" s="179">
        <v>7400</v>
      </c>
      <c r="N112" s="24"/>
      <c r="O112" s="24"/>
      <c r="P112" s="111">
        <v>0</v>
      </c>
    </row>
    <row r="113" spans="1:16" ht="13.5" customHeight="1">
      <c r="A113" s="1395" t="s">
        <v>51</v>
      </c>
      <c r="B113" s="911" t="s">
        <v>97</v>
      </c>
      <c r="C113" s="1355" t="s">
        <v>393</v>
      </c>
      <c r="D113" s="1356"/>
      <c r="E113" s="192">
        <f aca="true" t="shared" si="26" ref="E113:P113">SUM(E114:E116)</f>
        <v>1000</v>
      </c>
      <c r="F113" s="168">
        <f t="shared" si="26"/>
        <v>382680</v>
      </c>
      <c r="G113" s="192">
        <f t="shared" si="26"/>
        <v>0</v>
      </c>
      <c r="H113" s="168">
        <f t="shared" si="26"/>
        <v>382680</v>
      </c>
      <c r="I113" s="168">
        <f t="shared" si="26"/>
        <v>382680</v>
      </c>
      <c r="J113" s="193">
        <f t="shared" si="26"/>
        <v>0</v>
      </c>
      <c r="K113" s="192">
        <f t="shared" si="26"/>
        <v>0</v>
      </c>
      <c r="L113" s="194">
        <f t="shared" si="26"/>
        <v>382680</v>
      </c>
      <c r="M113" s="324">
        <f t="shared" si="26"/>
        <v>382680</v>
      </c>
      <c r="N113" s="168"/>
      <c r="O113" s="168"/>
      <c r="P113" s="187">
        <f t="shared" si="26"/>
        <v>1000</v>
      </c>
    </row>
    <row r="114" spans="1:16" ht="13.5" customHeight="1">
      <c r="A114" s="1396"/>
      <c r="B114" s="915" t="s">
        <v>103</v>
      </c>
      <c r="C114" s="188">
        <v>801</v>
      </c>
      <c r="D114" s="189">
        <v>80110</v>
      </c>
      <c r="E114" s="108">
        <v>1000</v>
      </c>
      <c r="F114" s="109">
        <f>SUM(G114:H114)</f>
        <v>378700</v>
      </c>
      <c r="G114" s="163">
        <f>0+0+0+0</f>
        <v>0</v>
      </c>
      <c r="H114" s="24">
        <f>SUM(I114:K114)</f>
        <v>378700</v>
      </c>
      <c r="I114" s="24">
        <v>378700</v>
      </c>
      <c r="J114" s="166"/>
      <c r="K114" s="163"/>
      <c r="L114" s="298">
        <f>SUM(E114+F114-P114)</f>
        <v>378700</v>
      </c>
      <c r="M114" s="179">
        <v>378700</v>
      </c>
      <c r="N114" s="24"/>
      <c r="O114" s="24"/>
      <c r="P114" s="111">
        <v>1000</v>
      </c>
    </row>
    <row r="115" spans="1:16" ht="13.5" customHeight="1">
      <c r="A115" s="1396"/>
      <c r="B115" s="916"/>
      <c r="C115" s="188">
        <v>801</v>
      </c>
      <c r="D115" s="189">
        <v>80146</v>
      </c>
      <c r="E115" s="293">
        <v>0</v>
      </c>
      <c r="F115" s="109">
        <f>SUM(G115:H115)</f>
        <v>1500</v>
      </c>
      <c r="G115" s="299"/>
      <c r="H115" s="24">
        <f>SUM(I115:K115)</f>
        <v>1500</v>
      </c>
      <c r="I115" s="24">
        <v>1500</v>
      </c>
      <c r="J115" s="166"/>
      <c r="K115" s="163"/>
      <c r="L115" s="298">
        <f>SUM(E115+F115-P115)</f>
        <v>1500</v>
      </c>
      <c r="M115" s="179">
        <v>1500</v>
      </c>
      <c r="N115" s="24"/>
      <c r="O115" s="24"/>
      <c r="P115" s="111">
        <v>0</v>
      </c>
    </row>
    <row r="116" spans="1:16" ht="13.5" customHeight="1">
      <c r="A116" s="118"/>
      <c r="B116" s="917"/>
      <c r="C116" s="188">
        <v>854</v>
      </c>
      <c r="D116" s="189">
        <v>85415</v>
      </c>
      <c r="E116" s="294">
        <v>0</v>
      </c>
      <c r="F116" s="109">
        <f>SUM(G116:H116)</f>
        <v>2480</v>
      </c>
      <c r="G116" s="300"/>
      <c r="H116" s="24">
        <f>SUM(I116:K116)</f>
        <v>2480</v>
      </c>
      <c r="I116" s="24">
        <v>2480</v>
      </c>
      <c r="J116" s="166"/>
      <c r="K116" s="163"/>
      <c r="L116" s="298">
        <f>SUM(E116+F116-P116)</f>
        <v>2480</v>
      </c>
      <c r="M116" s="179">
        <v>2480</v>
      </c>
      <c r="N116" s="24"/>
      <c r="O116" s="24"/>
      <c r="P116" s="111">
        <v>0</v>
      </c>
    </row>
    <row r="117" spans="1:16" ht="13.5" customHeight="1">
      <c r="A117" s="1395" t="s">
        <v>292</v>
      </c>
      <c r="B117" s="911" t="s">
        <v>104</v>
      </c>
      <c r="C117" s="1355" t="s">
        <v>393</v>
      </c>
      <c r="D117" s="1356"/>
      <c r="E117" s="192">
        <f aca="true" t="shared" si="27" ref="E117:P117">SUM(E118:E120)</f>
        <v>10000</v>
      </c>
      <c r="F117" s="168">
        <f t="shared" si="27"/>
        <v>697070</v>
      </c>
      <c r="G117" s="192">
        <f t="shared" si="27"/>
        <v>0</v>
      </c>
      <c r="H117" s="168">
        <f t="shared" si="27"/>
        <v>697070</v>
      </c>
      <c r="I117" s="168">
        <f t="shared" si="27"/>
        <v>697070</v>
      </c>
      <c r="J117" s="193">
        <f t="shared" si="27"/>
        <v>0</v>
      </c>
      <c r="K117" s="192">
        <f t="shared" si="27"/>
        <v>0</v>
      </c>
      <c r="L117" s="194">
        <f t="shared" si="27"/>
        <v>697070</v>
      </c>
      <c r="M117" s="324">
        <f t="shared" si="27"/>
        <v>697070</v>
      </c>
      <c r="N117" s="168"/>
      <c r="O117" s="168"/>
      <c r="P117" s="187">
        <f t="shared" si="27"/>
        <v>10000</v>
      </c>
    </row>
    <row r="118" spans="1:16" ht="13.5" customHeight="1">
      <c r="A118" s="1396"/>
      <c r="B118" s="912" t="s">
        <v>105</v>
      </c>
      <c r="C118" s="188">
        <v>801</v>
      </c>
      <c r="D118" s="189">
        <v>80110</v>
      </c>
      <c r="E118" s="108">
        <v>10000</v>
      </c>
      <c r="F118" s="109">
        <f>SUM(G118:H118)</f>
        <v>687700</v>
      </c>
      <c r="G118" s="163"/>
      <c r="H118" s="24">
        <f>SUM(I118:K118)</f>
        <v>687700</v>
      </c>
      <c r="I118" s="24">
        <v>687700</v>
      </c>
      <c r="J118" s="166"/>
      <c r="K118" s="163"/>
      <c r="L118" s="298">
        <f>SUM(E118+F118-P118)</f>
        <v>687700</v>
      </c>
      <c r="M118" s="179">
        <v>687700</v>
      </c>
      <c r="N118" s="24"/>
      <c r="O118" s="24"/>
      <c r="P118" s="111">
        <v>10000</v>
      </c>
    </row>
    <row r="119" spans="1:16" ht="13.5" customHeight="1">
      <c r="A119" s="1396"/>
      <c r="B119" s="918"/>
      <c r="C119" s="188">
        <v>801</v>
      </c>
      <c r="D119" s="189">
        <v>80146</v>
      </c>
      <c r="E119" s="299">
        <v>0</v>
      </c>
      <c r="F119" s="109">
        <f>SUM(G119:H119)</f>
        <v>2700</v>
      </c>
      <c r="G119" s="166"/>
      <c r="H119" s="24">
        <f>SUM(I119:K119)</f>
        <v>2700</v>
      </c>
      <c r="I119" s="24">
        <v>2700</v>
      </c>
      <c r="J119" s="166"/>
      <c r="K119" s="163"/>
      <c r="L119" s="298">
        <f>SUM(E119+F119-P119)</f>
        <v>2700</v>
      </c>
      <c r="M119" s="179">
        <v>2700</v>
      </c>
      <c r="N119" s="24"/>
      <c r="O119" s="24"/>
      <c r="P119" s="111">
        <v>0</v>
      </c>
    </row>
    <row r="120" spans="1:16" ht="13.5" customHeight="1" thickBot="1">
      <c r="A120" s="118"/>
      <c r="B120" s="919"/>
      <c r="C120" s="188">
        <v>854</v>
      </c>
      <c r="D120" s="189">
        <v>85415</v>
      </c>
      <c r="E120" s="310">
        <v>0</v>
      </c>
      <c r="F120" s="109">
        <f>SUM(G120:H120)</f>
        <v>6670</v>
      </c>
      <c r="G120" s="311"/>
      <c r="H120" s="24">
        <f>SUM(I120:K120)</f>
        <v>6670</v>
      </c>
      <c r="I120" s="169">
        <v>6670</v>
      </c>
      <c r="J120" s="169"/>
      <c r="K120" s="206"/>
      <c r="L120" s="304">
        <f>SUM(E120+F120-P120)</f>
        <v>6670</v>
      </c>
      <c r="M120" s="177">
        <v>6670</v>
      </c>
      <c r="N120" s="201"/>
      <c r="O120" s="201"/>
      <c r="P120" s="204">
        <v>0</v>
      </c>
    </row>
    <row r="121" spans="1:16" ht="13.5" customHeight="1" thickBot="1">
      <c r="A121" s="120" t="s">
        <v>293</v>
      </c>
      <c r="B121" s="74" t="s">
        <v>31</v>
      </c>
      <c r="C121" s="121">
        <v>853</v>
      </c>
      <c r="D121" s="122">
        <v>85305</v>
      </c>
      <c r="E121" s="123">
        <v>20000</v>
      </c>
      <c r="F121" s="124">
        <f>SUM(G121:H121)</f>
        <v>1229414</v>
      </c>
      <c r="G121" s="312">
        <v>252514</v>
      </c>
      <c r="H121" s="117">
        <f>SUM(I121:K121)</f>
        <v>976900</v>
      </c>
      <c r="I121" s="125">
        <v>976900</v>
      </c>
      <c r="J121" s="125"/>
      <c r="K121" s="126"/>
      <c r="L121" s="649">
        <f>SUM(E121+F121-P121)</f>
        <v>1229414</v>
      </c>
      <c r="M121" s="879">
        <v>1229414</v>
      </c>
      <c r="N121" s="880"/>
      <c r="O121" s="880"/>
      <c r="P121" s="540">
        <v>20000</v>
      </c>
    </row>
    <row r="122" spans="1:16" ht="21.75" customHeight="1" thickBot="1">
      <c r="A122" s="1430" t="s">
        <v>32</v>
      </c>
      <c r="B122" s="1431"/>
      <c r="C122" s="1431"/>
      <c r="D122" s="1432"/>
      <c r="E122" s="71">
        <f>SUM(E10+E16+E22+E23+E66+E97+E121)</f>
        <v>2065297</v>
      </c>
      <c r="F122" s="71">
        <f aca="true" t="shared" si="28" ref="F122:P122">SUM(F10+F16+F22+F23+F66+F97+F121)</f>
        <v>89940657</v>
      </c>
      <c r="G122" s="71">
        <f t="shared" si="28"/>
        <v>43296122</v>
      </c>
      <c r="H122" s="71">
        <f t="shared" si="28"/>
        <v>46644535</v>
      </c>
      <c r="I122" s="71">
        <f t="shared" si="28"/>
        <v>36689000</v>
      </c>
      <c r="J122" s="71">
        <f t="shared" si="28"/>
        <v>2655535</v>
      </c>
      <c r="K122" s="71">
        <f t="shared" si="28"/>
        <v>7300000</v>
      </c>
      <c r="L122" s="71">
        <f t="shared" si="28"/>
        <v>89840867</v>
      </c>
      <c r="M122" s="71">
        <f t="shared" si="28"/>
        <v>82040867</v>
      </c>
      <c r="N122" s="71">
        <f t="shared" si="28"/>
        <v>7800000</v>
      </c>
      <c r="O122" s="71">
        <f t="shared" si="28"/>
        <v>0</v>
      </c>
      <c r="P122" s="71">
        <f t="shared" si="28"/>
        <v>2165087</v>
      </c>
    </row>
    <row r="123" spans="6:15" ht="12">
      <c r="F123" s="105"/>
      <c r="O123" s="105"/>
    </row>
    <row r="124" spans="5:15" ht="12">
      <c r="E124" s="105"/>
      <c r="F124" s="105"/>
      <c r="O124" s="105"/>
    </row>
    <row r="125" spans="6:15" ht="12">
      <c r="F125" s="105"/>
      <c r="O125" s="105"/>
    </row>
    <row r="126" spans="6:15" ht="12">
      <c r="F126" s="105"/>
      <c r="H126" s="881"/>
      <c r="O126" s="105"/>
    </row>
    <row r="127" ht="12">
      <c r="O127" s="105"/>
    </row>
    <row r="128" ht="12">
      <c r="O128" s="105"/>
    </row>
    <row r="129" spans="5:15" ht="12">
      <c r="E129" s="105"/>
      <c r="O129" s="105"/>
    </row>
    <row r="130" spans="5:15" ht="12">
      <c r="E130" s="889"/>
      <c r="O130" s="105"/>
    </row>
    <row r="131" spans="5:15" ht="12">
      <c r="E131" s="890">
        <f>SUM(E129-E130)</f>
        <v>0</v>
      </c>
      <c r="O131" s="105"/>
    </row>
    <row r="132" ht="12">
      <c r="O132" s="105"/>
    </row>
    <row r="133" ht="12">
      <c r="O133" s="105"/>
    </row>
    <row r="134" ht="12">
      <c r="O134" s="105"/>
    </row>
    <row r="135" ht="12">
      <c r="O135" s="105"/>
    </row>
    <row r="136" ht="12">
      <c r="O136" s="105"/>
    </row>
    <row r="137" ht="12">
      <c r="O137" s="105"/>
    </row>
    <row r="138" ht="12">
      <c r="O138" s="105"/>
    </row>
    <row r="139" ht="12">
      <c r="O139" s="105"/>
    </row>
    <row r="140" ht="12">
      <c r="O140" s="105"/>
    </row>
    <row r="141" ht="12">
      <c r="O141" s="105"/>
    </row>
    <row r="142" ht="12">
      <c r="O142" s="105"/>
    </row>
    <row r="143" ht="12">
      <c r="O143" s="105"/>
    </row>
    <row r="144" ht="12">
      <c r="O144" s="105"/>
    </row>
    <row r="145" ht="12">
      <c r="O145" s="105"/>
    </row>
    <row r="146" ht="12">
      <c r="O146" s="105"/>
    </row>
    <row r="147" ht="12">
      <c r="O147" s="105"/>
    </row>
    <row r="148" ht="12">
      <c r="O148" s="105"/>
    </row>
    <row r="149" ht="12">
      <c r="O149" s="105"/>
    </row>
    <row r="150" ht="12">
      <c r="O150" s="105"/>
    </row>
    <row r="151" ht="12">
      <c r="O151" s="105"/>
    </row>
    <row r="152" ht="12">
      <c r="O152" s="105"/>
    </row>
    <row r="153" ht="12">
      <c r="O153" s="105"/>
    </row>
    <row r="154" ht="12">
      <c r="O154" s="105"/>
    </row>
    <row r="155" ht="12">
      <c r="O155" s="105"/>
    </row>
    <row r="156" ht="12">
      <c r="O156" s="105"/>
    </row>
    <row r="157" ht="12">
      <c r="O157" s="105"/>
    </row>
    <row r="158" ht="12">
      <c r="O158" s="105"/>
    </row>
    <row r="159" ht="12">
      <c r="O159" s="105"/>
    </row>
    <row r="160" ht="12">
      <c r="O160" s="105"/>
    </row>
    <row r="161" ht="12">
      <c r="O161" s="105"/>
    </row>
    <row r="162" ht="12">
      <c r="O162" s="105"/>
    </row>
    <row r="163" ht="12">
      <c r="O163" s="105"/>
    </row>
    <row r="164" ht="12">
      <c r="O164" s="105"/>
    </row>
    <row r="165" ht="12">
      <c r="O165" s="105"/>
    </row>
    <row r="166" ht="12">
      <c r="O166" s="105"/>
    </row>
    <row r="167" ht="12">
      <c r="O167" s="105"/>
    </row>
    <row r="168" ht="12">
      <c r="O168" s="105"/>
    </row>
    <row r="169" ht="12">
      <c r="O169" s="105"/>
    </row>
    <row r="170" ht="12">
      <c r="O170" s="105"/>
    </row>
    <row r="171" ht="12">
      <c r="O171" s="105"/>
    </row>
    <row r="172" ht="12">
      <c r="O172" s="105"/>
    </row>
    <row r="173" ht="12">
      <c r="O173" s="105"/>
    </row>
    <row r="174" ht="12">
      <c r="O174" s="105"/>
    </row>
    <row r="175" ht="12">
      <c r="O175" s="105"/>
    </row>
    <row r="176" ht="12">
      <c r="O176" s="105"/>
    </row>
    <row r="177" ht="12">
      <c r="O177" s="105"/>
    </row>
    <row r="178" ht="12">
      <c r="O178" s="105"/>
    </row>
    <row r="179" ht="12">
      <c r="O179" s="105"/>
    </row>
    <row r="180" ht="12">
      <c r="O180" s="105"/>
    </row>
    <row r="181" ht="12">
      <c r="O181" s="105"/>
    </row>
    <row r="182" ht="12">
      <c r="O182" s="105"/>
    </row>
    <row r="183" ht="12">
      <c r="O183" s="105"/>
    </row>
    <row r="184" ht="12">
      <c r="O184" s="105"/>
    </row>
    <row r="185" ht="12">
      <c r="O185" s="105"/>
    </row>
    <row r="186" ht="12">
      <c r="O186" s="105"/>
    </row>
    <row r="187" ht="12">
      <c r="O187" s="105"/>
    </row>
    <row r="188" ht="12">
      <c r="O188" s="105"/>
    </row>
    <row r="189" ht="12">
      <c r="O189" s="105"/>
    </row>
    <row r="190" ht="12">
      <c r="O190" s="105"/>
    </row>
    <row r="191" ht="12">
      <c r="O191" s="105"/>
    </row>
    <row r="192" ht="12">
      <c r="O192" s="105"/>
    </row>
    <row r="193" ht="12">
      <c r="O193" s="105"/>
    </row>
    <row r="194" ht="12">
      <c r="O194" s="105"/>
    </row>
    <row r="195" ht="12">
      <c r="O195" s="105"/>
    </row>
    <row r="196" ht="12">
      <c r="O196" s="105"/>
    </row>
    <row r="197" ht="12">
      <c r="O197" s="105"/>
    </row>
    <row r="198" ht="12">
      <c r="O198" s="105"/>
    </row>
    <row r="199" ht="12">
      <c r="O199" s="105"/>
    </row>
    <row r="200" ht="12">
      <c r="O200" s="105"/>
    </row>
    <row r="201" ht="12">
      <c r="O201" s="105"/>
    </row>
    <row r="202" ht="12">
      <c r="O202" s="105"/>
    </row>
    <row r="203" ht="12">
      <c r="O203" s="105"/>
    </row>
  </sheetData>
  <mergeCells count="87">
    <mergeCell ref="A122:D122"/>
    <mergeCell ref="A109:A111"/>
    <mergeCell ref="C109:D109"/>
    <mergeCell ref="B110:B112"/>
    <mergeCell ref="A113:A115"/>
    <mergeCell ref="C113:D113"/>
    <mergeCell ref="A117:A119"/>
    <mergeCell ref="C117:D117"/>
    <mergeCell ref="B92:B93"/>
    <mergeCell ref="A94:A96"/>
    <mergeCell ref="C94:D94"/>
    <mergeCell ref="B95:B96"/>
    <mergeCell ref="A91:A93"/>
    <mergeCell ref="C91:D91"/>
    <mergeCell ref="A84:A86"/>
    <mergeCell ref="B85:B86"/>
    <mergeCell ref="A87:A89"/>
    <mergeCell ref="B88:B89"/>
    <mergeCell ref="A61:A64"/>
    <mergeCell ref="C61:D61"/>
    <mergeCell ref="C56:D56"/>
    <mergeCell ref="A81:A83"/>
    <mergeCell ref="C81:D81"/>
    <mergeCell ref="B82:B83"/>
    <mergeCell ref="A75:A77"/>
    <mergeCell ref="C75:D75"/>
    <mergeCell ref="B76:B77"/>
    <mergeCell ref="A78:A80"/>
    <mergeCell ref="B40:B43"/>
    <mergeCell ref="A45:A50"/>
    <mergeCell ref="C45:D45"/>
    <mergeCell ref="A51:A55"/>
    <mergeCell ref="B24:B26"/>
    <mergeCell ref="A10:A15"/>
    <mergeCell ref="C39:D39"/>
    <mergeCell ref="B10:B15"/>
    <mergeCell ref="C10:D10"/>
    <mergeCell ref="A105:A107"/>
    <mergeCell ref="C105:D105"/>
    <mergeCell ref="P6:P8"/>
    <mergeCell ref="A29:A32"/>
    <mergeCell ref="C29:D29"/>
    <mergeCell ref="B30:B32"/>
    <mergeCell ref="A16:A21"/>
    <mergeCell ref="B16:B21"/>
    <mergeCell ref="C16:D16"/>
    <mergeCell ref="A23:A26"/>
    <mergeCell ref="A97:A99"/>
    <mergeCell ref="B98:B99"/>
    <mergeCell ref="A101:A103"/>
    <mergeCell ref="C101:D101"/>
    <mergeCell ref="B102:B104"/>
    <mergeCell ref="C78:D78"/>
    <mergeCell ref="B79:B80"/>
    <mergeCell ref="A69:A71"/>
    <mergeCell ref="C69:D69"/>
    <mergeCell ref="B70:B71"/>
    <mergeCell ref="A72:A74"/>
    <mergeCell ref="C72:D72"/>
    <mergeCell ref="B73:B74"/>
    <mergeCell ref="A66:A68"/>
    <mergeCell ref="B67:B68"/>
    <mergeCell ref="A34:A37"/>
    <mergeCell ref="C34:D34"/>
    <mergeCell ref="B35:B37"/>
    <mergeCell ref="A39:A43"/>
    <mergeCell ref="B52:B55"/>
    <mergeCell ref="A56:A59"/>
    <mergeCell ref="B57:B60"/>
    <mergeCell ref="C51:D51"/>
    <mergeCell ref="I7:K7"/>
    <mergeCell ref="H7:H8"/>
    <mergeCell ref="G7:G8"/>
    <mergeCell ref="A6:A8"/>
    <mergeCell ref="B6:B8"/>
    <mergeCell ref="C6:C8"/>
    <mergeCell ref="D6:D8"/>
    <mergeCell ref="A4:P4"/>
    <mergeCell ref="C84:D84"/>
    <mergeCell ref="C87:D87"/>
    <mergeCell ref="O2:P2"/>
    <mergeCell ref="G6:K6"/>
    <mergeCell ref="E6:E8"/>
    <mergeCell ref="F6:F8"/>
    <mergeCell ref="L6:L8"/>
    <mergeCell ref="M7:M8"/>
    <mergeCell ref="M6:O6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70" r:id="rId1"/>
  <rowBreaks count="2" manualBreakCount="2">
    <brk id="43" max="15" man="1"/>
    <brk id="8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F47"/>
  <sheetViews>
    <sheetView showGridLines="0" view="pageBreakPreview" zoomScaleSheetLayoutView="100" workbookViewId="0" topLeftCell="A1">
      <selection activeCell="H27" sqref="H27"/>
    </sheetView>
  </sheetViews>
  <sheetFormatPr defaultColWidth="9.00390625" defaultRowHeight="12"/>
  <cols>
    <col min="1" max="1" width="5.25390625" style="10" customWidth="1"/>
    <col min="2" max="2" width="58.00390625" style="10" customWidth="1"/>
    <col min="3" max="3" width="9.375" style="10" customWidth="1"/>
    <col min="4" max="4" width="11.125" style="10" customWidth="1"/>
    <col min="5" max="5" width="21.75390625" style="10" customWidth="1"/>
    <col min="6" max="16384" width="9.125" style="10" customWidth="1"/>
  </cols>
  <sheetData>
    <row r="1" spans="5:6" ht="48" customHeight="1">
      <c r="E1" s="1434" t="s">
        <v>63</v>
      </c>
      <c r="F1" s="1434"/>
    </row>
    <row r="2" spans="1:6" ht="48" customHeight="1">
      <c r="A2" s="1433" t="s">
        <v>217</v>
      </c>
      <c r="B2" s="1433"/>
      <c r="C2" s="1433"/>
      <c r="D2" s="1433"/>
      <c r="E2" s="1433"/>
      <c r="F2" s="23"/>
    </row>
    <row r="3" spans="1:5" s="330" customFormat="1" ht="16.5" thickBot="1">
      <c r="A3" s="5"/>
      <c r="B3" s="93"/>
      <c r="C3" s="93"/>
      <c r="D3" s="93"/>
      <c r="E3" s="59" t="s">
        <v>593</v>
      </c>
    </row>
    <row r="4" spans="1:6" ht="15" customHeight="1">
      <c r="A4" s="1288" t="s">
        <v>592</v>
      </c>
      <c r="B4" s="1435" t="s">
        <v>181</v>
      </c>
      <c r="C4" s="1435" t="s">
        <v>375</v>
      </c>
      <c r="D4" s="1435" t="s">
        <v>394</v>
      </c>
      <c r="E4" s="1437" t="s">
        <v>455</v>
      </c>
      <c r="F4" s="68"/>
    </row>
    <row r="5" spans="1:6" ht="15" customHeight="1">
      <c r="A5" s="1289"/>
      <c r="B5" s="1436"/>
      <c r="C5" s="1436"/>
      <c r="D5" s="1436"/>
      <c r="E5" s="1438"/>
      <c r="F5" s="68"/>
    </row>
    <row r="6" spans="1:5" ht="12.75" thickBot="1">
      <c r="A6" s="507">
        <v>1</v>
      </c>
      <c r="B6" s="508">
        <v>2</v>
      </c>
      <c r="C6" s="508">
        <v>3</v>
      </c>
      <c r="D6" s="508">
        <v>4</v>
      </c>
      <c r="E6" s="509">
        <v>5</v>
      </c>
    </row>
    <row r="7" spans="1:5" ht="14.25">
      <c r="A7" s="76"/>
      <c r="B7" s="77"/>
      <c r="C7" s="506"/>
      <c r="D7" s="215"/>
      <c r="E7" s="78"/>
    </row>
    <row r="8" spans="1:5" ht="15">
      <c r="A8" s="7">
        <v>1</v>
      </c>
      <c r="B8" s="4" t="s">
        <v>404</v>
      </c>
      <c r="C8" s="80">
        <v>630</v>
      </c>
      <c r="D8" s="81">
        <v>63003</v>
      </c>
      <c r="E8" s="79">
        <v>10000</v>
      </c>
    </row>
    <row r="9" spans="1:5" ht="14.25">
      <c r="A9" s="7"/>
      <c r="B9" s="4"/>
      <c r="C9" s="80"/>
      <c r="D9" s="81"/>
      <c r="E9" s="82"/>
    </row>
    <row r="10" spans="1:5" ht="15">
      <c r="A10" s="76">
        <v>2</v>
      </c>
      <c r="B10" s="4" t="s">
        <v>287</v>
      </c>
      <c r="C10" s="26">
        <v>851</v>
      </c>
      <c r="D10" s="26"/>
      <c r="E10" s="131">
        <f>SUM(E14+E16)</f>
        <v>65000</v>
      </c>
    </row>
    <row r="11" spans="1:5" ht="14.25">
      <c r="A11" s="76"/>
      <c r="B11" s="4" t="s">
        <v>555</v>
      </c>
      <c r="C11" s="128"/>
      <c r="D11" s="3"/>
      <c r="E11" s="82"/>
    </row>
    <row r="12" spans="1:5" ht="14.25">
      <c r="A12" s="7">
        <v>3</v>
      </c>
      <c r="B12" s="4" t="s">
        <v>603</v>
      </c>
      <c r="C12" s="80"/>
      <c r="D12" s="81"/>
      <c r="E12" s="82"/>
    </row>
    <row r="13" spans="1:5" ht="14.25">
      <c r="A13" s="7"/>
      <c r="B13" s="4" t="s">
        <v>604</v>
      </c>
      <c r="C13" s="80"/>
      <c r="D13" s="81"/>
      <c r="E13" s="82"/>
    </row>
    <row r="14" spans="1:5" ht="14.25">
      <c r="A14" s="7"/>
      <c r="B14" s="4" t="s">
        <v>605</v>
      </c>
      <c r="C14" s="80">
        <v>851</v>
      </c>
      <c r="D14" s="334">
        <v>85154</v>
      </c>
      <c r="E14" s="82">
        <v>20000</v>
      </c>
    </row>
    <row r="15" spans="1:5" ht="14.25">
      <c r="A15" s="7">
        <v>4</v>
      </c>
      <c r="B15" s="4" t="s">
        <v>606</v>
      </c>
      <c r="C15" s="128"/>
      <c r="D15" s="3"/>
      <c r="E15" s="82"/>
    </row>
    <row r="16" spans="1:5" ht="14.25">
      <c r="A16" s="7"/>
      <c r="B16" s="4" t="s">
        <v>607</v>
      </c>
      <c r="C16" s="26">
        <v>851</v>
      </c>
      <c r="D16" s="26">
        <v>85195</v>
      </c>
      <c r="E16" s="82">
        <v>45000</v>
      </c>
    </row>
    <row r="17" spans="1:5" ht="14.25">
      <c r="A17" s="7"/>
      <c r="B17" s="4"/>
      <c r="C17" s="26"/>
      <c r="D17" s="26"/>
      <c r="E17" s="82"/>
    </row>
    <row r="18" spans="1:5" ht="15">
      <c r="A18" s="7">
        <v>5</v>
      </c>
      <c r="B18" s="4" t="s">
        <v>288</v>
      </c>
      <c r="C18" s="26">
        <v>852</v>
      </c>
      <c r="D18" s="26"/>
      <c r="E18" s="131">
        <f>SUM(E20:E22)</f>
        <v>225000</v>
      </c>
    </row>
    <row r="19" spans="1:5" ht="15">
      <c r="A19" s="7"/>
      <c r="B19" s="4" t="s">
        <v>555</v>
      </c>
      <c r="C19" s="26"/>
      <c r="D19" s="26"/>
      <c r="E19" s="79"/>
    </row>
    <row r="20" spans="1:5" ht="14.25">
      <c r="A20" s="7">
        <v>6</v>
      </c>
      <c r="B20" s="4" t="s">
        <v>24</v>
      </c>
      <c r="C20" s="26">
        <v>852</v>
      </c>
      <c r="D20" s="26">
        <v>85203</v>
      </c>
      <c r="E20" s="82">
        <v>175000</v>
      </c>
    </row>
    <row r="21" spans="1:5" ht="14.25">
      <c r="A21" s="7">
        <v>7</v>
      </c>
      <c r="B21" s="4" t="s">
        <v>86</v>
      </c>
      <c r="C21" s="26"/>
      <c r="D21" s="26"/>
      <c r="E21" s="82"/>
    </row>
    <row r="22" spans="1:5" ht="14.25">
      <c r="A22" s="7"/>
      <c r="B22" s="4" t="s">
        <v>87</v>
      </c>
      <c r="C22" s="26">
        <v>852</v>
      </c>
      <c r="D22" s="26">
        <v>85295</v>
      </c>
      <c r="E22" s="82">
        <v>50000</v>
      </c>
    </row>
    <row r="23" spans="1:5" ht="14.25">
      <c r="A23" s="7"/>
      <c r="B23" s="4"/>
      <c r="C23" s="26"/>
      <c r="D23" s="26"/>
      <c r="E23" s="82"/>
    </row>
    <row r="24" spans="1:5" ht="15">
      <c r="A24" s="7">
        <v>8</v>
      </c>
      <c r="B24" s="4" t="s">
        <v>89</v>
      </c>
      <c r="C24" s="26">
        <v>853</v>
      </c>
      <c r="D24" s="26">
        <v>85395</v>
      </c>
      <c r="E24" s="79">
        <v>12000</v>
      </c>
    </row>
    <row r="25" spans="1:5" ht="15">
      <c r="A25" s="7"/>
      <c r="B25" s="4" t="s">
        <v>90</v>
      </c>
      <c r="C25" s="26"/>
      <c r="D25" s="26"/>
      <c r="E25" s="79"/>
    </row>
    <row r="26" spans="1:5" ht="15">
      <c r="A26" s="7"/>
      <c r="B26" s="4" t="s">
        <v>91</v>
      </c>
      <c r="C26" s="26"/>
      <c r="D26" s="26"/>
      <c r="E26" s="79"/>
    </row>
    <row r="27" spans="1:5" ht="15">
      <c r="A27" s="7"/>
      <c r="B27" s="4" t="s">
        <v>92</v>
      </c>
      <c r="C27" s="26"/>
      <c r="D27" s="26"/>
      <c r="E27" s="79"/>
    </row>
    <row r="28" spans="1:5" ht="15">
      <c r="A28" s="7"/>
      <c r="B28" s="4" t="s">
        <v>93</v>
      </c>
      <c r="C28" s="26"/>
      <c r="D28" s="26"/>
      <c r="E28" s="79"/>
    </row>
    <row r="29" spans="1:5" ht="14.25">
      <c r="A29" s="7"/>
      <c r="B29" s="4"/>
      <c r="C29" s="26"/>
      <c r="D29" s="26"/>
      <c r="E29" s="82"/>
    </row>
    <row r="30" spans="1:5" ht="15">
      <c r="A30" s="7">
        <v>9</v>
      </c>
      <c r="B30" s="4" t="s">
        <v>184</v>
      </c>
      <c r="C30" s="26">
        <v>854</v>
      </c>
      <c r="D30" s="26"/>
      <c r="E30" s="131">
        <f>SUM(E32:E33)</f>
        <v>120000</v>
      </c>
    </row>
    <row r="31" spans="1:5" ht="15">
      <c r="A31" s="7"/>
      <c r="B31" s="4" t="s">
        <v>555</v>
      </c>
      <c r="C31" s="26"/>
      <c r="D31" s="26"/>
      <c r="E31" s="79"/>
    </row>
    <row r="32" spans="1:5" ht="14.25">
      <c r="A32" s="7">
        <v>10</v>
      </c>
      <c r="B32" s="4" t="s">
        <v>88</v>
      </c>
      <c r="C32" s="26">
        <v>854</v>
      </c>
      <c r="D32" s="26">
        <v>85412</v>
      </c>
      <c r="E32" s="82">
        <v>60000</v>
      </c>
    </row>
    <row r="33" spans="1:5" ht="14.25">
      <c r="A33" s="7">
        <v>11</v>
      </c>
      <c r="B33" s="4" t="s">
        <v>185</v>
      </c>
      <c r="C33" s="26">
        <v>854</v>
      </c>
      <c r="D33" s="26">
        <v>85495</v>
      </c>
      <c r="E33" s="82">
        <v>60000</v>
      </c>
    </row>
    <row r="34" spans="1:5" ht="14.25">
      <c r="A34" s="7"/>
      <c r="B34" s="4"/>
      <c r="C34" s="26"/>
      <c r="D34" s="26"/>
      <c r="E34" s="82"/>
    </row>
    <row r="35" spans="1:5" ht="14.25">
      <c r="A35" s="7">
        <v>12</v>
      </c>
      <c r="B35" s="4" t="s">
        <v>225</v>
      </c>
      <c r="C35" s="26"/>
      <c r="D35" s="26"/>
      <c r="E35" s="82"/>
    </row>
    <row r="36" spans="1:5" ht="15">
      <c r="A36" s="7"/>
      <c r="B36" s="4" t="s">
        <v>226</v>
      </c>
      <c r="C36" s="26">
        <v>921</v>
      </c>
      <c r="D36" s="26"/>
      <c r="E36" s="131">
        <f>SUM(E38:E41)</f>
        <v>82000</v>
      </c>
    </row>
    <row r="37" spans="1:5" ht="14.25">
      <c r="A37" s="7"/>
      <c r="B37" s="128" t="s">
        <v>555</v>
      </c>
      <c r="C37" s="26"/>
      <c r="D37" s="26"/>
      <c r="E37" s="82"/>
    </row>
    <row r="38" spans="1:5" ht="14.25">
      <c r="A38" s="7">
        <v>13</v>
      </c>
      <c r="B38" s="128" t="s">
        <v>608</v>
      </c>
      <c r="C38" s="26">
        <v>921</v>
      </c>
      <c r="D38" s="26">
        <v>92120</v>
      </c>
      <c r="E38" s="82">
        <v>42000</v>
      </c>
    </row>
    <row r="39" spans="1:5" ht="14.25">
      <c r="A39" s="7">
        <v>14</v>
      </c>
      <c r="B39" s="128" t="s">
        <v>609</v>
      </c>
      <c r="C39" s="26"/>
      <c r="D39" s="26"/>
      <c r="E39" s="82"/>
    </row>
    <row r="40" spans="1:5" ht="14.25">
      <c r="A40" s="7"/>
      <c r="B40" s="128" t="s">
        <v>611</v>
      </c>
      <c r="C40" s="26"/>
      <c r="D40" s="26"/>
      <c r="E40" s="82"/>
    </row>
    <row r="41" spans="1:5" ht="14.25">
      <c r="A41" s="7"/>
      <c r="B41" s="128" t="s">
        <v>610</v>
      </c>
      <c r="C41" s="26">
        <v>921</v>
      </c>
      <c r="D41" s="26">
        <v>92195</v>
      </c>
      <c r="E41" s="82">
        <v>40000</v>
      </c>
    </row>
    <row r="42" spans="1:5" ht="14.25">
      <c r="A42" s="7"/>
      <c r="B42" s="128"/>
      <c r="C42" s="26"/>
      <c r="D42" s="26"/>
      <c r="E42" s="82"/>
    </row>
    <row r="43" spans="1:5" ht="14.25">
      <c r="A43" s="7">
        <v>15</v>
      </c>
      <c r="B43" s="4" t="s">
        <v>601</v>
      </c>
      <c r="C43" s="26"/>
      <c r="D43" s="26"/>
      <c r="E43" s="82"/>
    </row>
    <row r="44" spans="1:5" ht="15">
      <c r="A44" s="7"/>
      <c r="B44" s="4" t="s">
        <v>602</v>
      </c>
      <c r="C44" s="26">
        <v>926</v>
      </c>
      <c r="D44" s="26">
        <v>92605</v>
      </c>
      <c r="E44" s="79">
        <v>750000</v>
      </c>
    </row>
    <row r="45" spans="1:5" ht="15" thickBot="1">
      <c r="A45" s="9"/>
      <c r="B45" s="27"/>
      <c r="C45" s="8"/>
      <c r="D45" s="8"/>
      <c r="E45" s="288"/>
    </row>
    <row r="46" spans="1:5" ht="14.25">
      <c r="A46" s="7"/>
      <c r="B46" s="4"/>
      <c r="C46" s="26"/>
      <c r="D46" s="26"/>
      <c r="E46" s="82"/>
    </row>
    <row r="47" spans="1:5" ht="15.75" thickBot="1">
      <c r="A47" s="9"/>
      <c r="B47" s="273" t="s">
        <v>393</v>
      </c>
      <c r="C47" s="273" t="s">
        <v>594</v>
      </c>
      <c r="D47" s="273" t="s">
        <v>594</v>
      </c>
      <c r="E47" s="289">
        <f>SUM(E8,E10,E18,E24,E30,E36,E44)</f>
        <v>1264000</v>
      </c>
    </row>
  </sheetData>
  <mergeCells count="7">
    <mergeCell ref="A2:E2"/>
    <mergeCell ref="E1:F1"/>
    <mergeCell ref="A4:A5"/>
    <mergeCell ref="B4:B5"/>
    <mergeCell ref="C4:C5"/>
    <mergeCell ref="D4:D5"/>
    <mergeCell ref="E4:E5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41"/>
  <sheetViews>
    <sheetView showGridLines="0" view="pageBreakPreview" zoomScaleSheetLayoutView="100" workbookViewId="0" topLeftCell="A1">
      <selection activeCell="M18" sqref="M18"/>
    </sheetView>
  </sheetViews>
  <sheetFormatPr defaultColWidth="9.00390625" defaultRowHeight="12"/>
  <cols>
    <col min="1" max="1" width="5.375" style="10" bestFit="1" customWidth="1"/>
    <col min="2" max="2" width="45.00390625" style="10" customWidth="1"/>
    <col min="3" max="3" width="7.875" style="10" customWidth="1"/>
    <col min="4" max="4" width="9.75390625" style="10" bestFit="1" customWidth="1"/>
    <col min="5" max="5" width="11.25390625" style="10" customWidth="1"/>
    <col min="6" max="6" width="15.875" style="10" customWidth="1"/>
    <col min="7" max="7" width="11.25390625" style="10" customWidth="1"/>
    <col min="8" max="8" width="12.375" style="10" customWidth="1"/>
    <col min="9" max="9" width="14.125" style="60" customWidth="1"/>
    <col min="10" max="10" width="8.75390625" style="10" customWidth="1"/>
    <col min="11" max="16384" width="9.125" style="10" customWidth="1"/>
  </cols>
  <sheetData>
    <row r="1" spans="4:9" ht="46.5" customHeight="1">
      <c r="D1" s="28"/>
      <c r="E1" s="28"/>
      <c r="F1" s="28"/>
      <c r="G1" s="28"/>
      <c r="H1" s="1439" t="s">
        <v>69</v>
      </c>
      <c r="I1" s="1439"/>
    </row>
    <row r="3" spans="1:11" ht="15.75">
      <c r="A3" s="1325" t="s">
        <v>218</v>
      </c>
      <c r="B3" s="1325"/>
      <c r="C3" s="1325"/>
      <c r="D3" s="1325"/>
      <c r="E3" s="1325"/>
      <c r="F3" s="1325"/>
      <c r="G3" s="1325"/>
      <c r="H3" s="1325"/>
      <c r="I3" s="1325"/>
      <c r="J3" s="1"/>
      <c r="K3" s="1"/>
    </row>
    <row r="4" spans="1:9" ht="15" thickBot="1">
      <c r="A4" s="13"/>
      <c r="B4" s="13"/>
      <c r="C4" s="13"/>
      <c r="D4" s="13"/>
      <c r="E4" s="13"/>
      <c r="F4" s="13"/>
      <c r="G4" s="13"/>
      <c r="H4" s="13"/>
      <c r="I4" s="57" t="s">
        <v>593</v>
      </c>
    </row>
    <row r="5" spans="1:9" ht="15" customHeight="1">
      <c r="A5" s="1288" t="s">
        <v>592</v>
      </c>
      <c r="B5" s="1440" t="s">
        <v>119</v>
      </c>
      <c r="C5" s="1435" t="s">
        <v>375</v>
      </c>
      <c r="D5" s="1435" t="s">
        <v>394</v>
      </c>
      <c r="E5" s="1444" t="s">
        <v>335</v>
      </c>
      <c r="F5" s="1445"/>
      <c r="G5" s="1445"/>
      <c r="H5" s="1445"/>
      <c r="I5" s="1446"/>
    </row>
    <row r="6" spans="1:9" ht="15" customHeight="1">
      <c r="A6" s="1449"/>
      <c r="B6" s="1441"/>
      <c r="C6" s="1443"/>
      <c r="D6" s="1443"/>
      <c r="E6" s="1447" t="s">
        <v>294</v>
      </c>
      <c r="F6" s="1450" t="s">
        <v>555</v>
      </c>
      <c r="G6" s="1451"/>
      <c r="H6" s="1451"/>
      <c r="I6" s="1452"/>
    </row>
    <row r="7" spans="1:9" ht="15" customHeight="1">
      <c r="A7" s="1449"/>
      <c r="B7" s="1441"/>
      <c r="C7" s="1443"/>
      <c r="D7" s="1443"/>
      <c r="E7" s="1447"/>
      <c r="F7" s="1455" t="s">
        <v>114</v>
      </c>
      <c r="G7" s="1455" t="s">
        <v>115</v>
      </c>
      <c r="H7" s="1453" t="s">
        <v>555</v>
      </c>
      <c r="I7" s="1454"/>
    </row>
    <row r="8" spans="1:9" ht="44.25" customHeight="1">
      <c r="A8" s="1289"/>
      <c r="B8" s="1442"/>
      <c r="C8" s="1436"/>
      <c r="D8" s="1436"/>
      <c r="E8" s="1448"/>
      <c r="F8" s="1455"/>
      <c r="G8" s="1455"/>
      <c r="H8" s="510" t="s">
        <v>182</v>
      </c>
      <c r="I8" s="511" t="s">
        <v>183</v>
      </c>
    </row>
    <row r="9" spans="1:9" ht="12.75" thickBot="1">
      <c r="A9" s="490">
        <v>1</v>
      </c>
      <c r="B9" s="491">
        <v>2</v>
      </c>
      <c r="C9" s="491">
        <v>3</v>
      </c>
      <c r="D9" s="491">
        <v>4</v>
      </c>
      <c r="E9" s="491">
        <v>5</v>
      </c>
      <c r="F9" s="491">
        <v>6</v>
      </c>
      <c r="G9" s="491">
        <v>7</v>
      </c>
      <c r="H9" s="491">
        <v>8</v>
      </c>
      <c r="I9" s="528">
        <v>9</v>
      </c>
    </row>
    <row r="10" spans="1:9" ht="12.75">
      <c r="A10" s="30"/>
      <c r="B10" s="34" t="s">
        <v>333</v>
      </c>
      <c r="C10" s="37"/>
      <c r="D10" s="37"/>
      <c r="E10" s="37"/>
      <c r="F10" s="37"/>
      <c r="G10" s="37"/>
      <c r="H10" s="37"/>
      <c r="I10" s="31"/>
    </row>
    <row r="11" spans="1:9" ht="12.75">
      <c r="A11" s="33" t="s">
        <v>639</v>
      </c>
      <c r="B11" s="930" t="s">
        <v>615</v>
      </c>
      <c r="C11" s="37"/>
      <c r="D11" s="37"/>
      <c r="E11" s="934">
        <f>SUM(E13:E16)</f>
        <v>3076300</v>
      </c>
      <c r="F11" s="934">
        <f>SUM(F13:F16)</f>
        <v>3051300</v>
      </c>
      <c r="G11" s="934">
        <f>SUM(G13:G16)</f>
        <v>25000</v>
      </c>
      <c r="H11" s="934">
        <f>SUM(H13:H16)</f>
        <v>0</v>
      </c>
      <c r="I11" s="933">
        <f>SUM(I13:I16)</f>
        <v>25000</v>
      </c>
    </row>
    <row r="12" spans="1:9" ht="12.75">
      <c r="A12" s="30"/>
      <c r="B12" s="34"/>
      <c r="C12" s="37"/>
      <c r="D12" s="37"/>
      <c r="E12" s="37"/>
      <c r="F12" s="37"/>
      <c r="G12" s="37"/>
      <c r="H12" s="37"/>
      <c r="I12" s="31"/>
    </row>
    <row r="13" spans="1:9" ht="12.75">
      <c r="A13" s="338">
        <v>2</v>
      </c>
      <c r="B13" s="34" t="s">
        <v>120</v>
      </c>
      <c r="C13" s="37">
        <v>921</v>
      </c>
      <c r="D13" s="37">
        <v>92109</v>
      </c>
      <c r="E13" s="83">
        <f>SUM(F13:G13)</f>
        <v>1970000</v>
      </c>
      <c r="F13" s="83">
        <v>1970000</v>
      </c>
      <c r="G13" s="83">
        <f>SUM(H13:I13)</f>
        <v>0</v>
      </c>
      <c r="H13" s="83"/>
      <c r="I13" s="932"/>
    </row>
    <row r="14" spans="1:9" ht="12.75">
      <c r="A14" s="338"/>
      <c r="B14" s="34"/>
      <c r="C14" s="34"/>
      <c r="D14" s="34"/>
      <c r="E14" s="83"/>
      <c r="F14" s="83"/>
      <c r="G14" s="83"/>
      <c r="H14" s="83"/>
      <c r="I14" s="932"/>
    </row>
    <row r="15" spans="1:9" ht="12.75">
      <c r="A15" s="338">
        <v>3</v>
      </c>
      <c r="B15" s="86" t="s">
        <v>121</v>
      </c>
      <c r="C15" s="34"/>
      <c r="D15" s="34"/>
      <c r="E15" s="83"/>
      <c r="F15" s="83"/>
      <c r="G15" s="83"/>
      <c r="H15" s="83"/>
      <c r="I15" s="932"/>
    </row>
    <row r="16" spans="1:9" s="58" customFormat="1" ht="12.75">
      <c r="A16" s="378"/>
      <c r="B16" s="86" t="s">
        <v>122</v>
      </c>
      <c r="C16" s="88">
        <v>921</v>
      </c>
      <c r="D16" s="88">
        <v>92116</v>
      </c>
      <c r="E16" s="83">
        <f>SUM(F16:G16)</f>
        <v>1106300</v>
      </c>
      <c r="F16" s="89">
        <v>1081300</v>
      </c>
      <c r="G16" s="83">
        <f>SUM(H16:I16)</f>
        <v>25000</v>
      </c>
      <c r="H16" s="89"/>
      <c r="I16" s="91">
        <v>25000</v>
      </c>
    </row>
    <row r="17" spans="1:9" ht="12.75">
      <c r="A17" s="33"/>
      <c r="B17" s="34"/>
      <c r="C17" s="34"/>
      <c r="D17" s="34"/>
      <c r="E17" s="83"/>
      <c r="F17" s="83"/>
      <c r="G17" s="83"/>
      <c r="H17" s="83"/>
      <c r="I17" s="279"/>
    </row>
    <row r="18" spans="1:9" ht="12.75">
      <c r="A18" s="33">
        <v>4</v>
      </c>
      <c r="B18" s="930" t="s">
        <v>616</v>
      </c>
      <c r="C18" s="34"/>
      <c r="D18" s="34"/>
      <c r="E18" s="931">
        <f>SUM(E22:E30)</f>
        <v>127000</v>
      </c>
      <c r="F18" s="931">
        <f>SUM(F22:F30)</f>
        <v>0</v>
      </c>
      <c r="G18" s="931">
        <f>SUM(G22:G30)</f>
        <v>127000</v>
      </c>
      <c r="H18" s="931">
        <f>SUM(H22:H30)</f>
        <v>127000</v>
      </c>
      <c r="I18" s="933">
        <f>SUM(I21:I31)</f>
        <v>0</v>
      </c>
    </row>
    <row r="19" spans="1:9" ht="12.75">
      <c r="A19" s="33"/>
      <c r="B19" s="34"/>
      <c r="C19" s="34"/>
      <c r="D19" s="34"/>
      <c r="E19" s="83"/>
      <c r="F19" s="83"/>
      <c r="G19" s="83"/>
      <c r="H19" s="83"/>
      <c r="I19" s="279"/>
    </row>
    <row r="20" spans="1:9" s="58" customFormat="1" ht="12.75">
      <c r="A20" s="87">
        <v>5</v>
      </c>
      <c r="B20" s="34" t="s">
        <v>128</v>
      </c>
      <c r="C20" s="37"/>
      <c r="D20" s="37"/>
      <c r="E20" s="83"/>
      <c r="F20" s="89"/>
      <c r="G20" s="83"/>
      <c r="H20" s="89"/>
      <c r="I20" s="91"/>
    </row>
    <row r="21" spans="1:9" s="58" customFormat="1" ht="12.75">
      <c r="A21" s="87"/>
      <c r="B21" s="34" t="s">
        <v>123</v>
      </c>
      <c r="C21" s="37"/>
      <c r="D21" s="37"/>
      <c r="E21" s="83"/>
      <c r="F21" s="83"/>
      <c r="G21" s="83"/>
      <c r="H21" s="89"/>
      <c r="I21" s="91"/>
    </row>
    <row r="22" spans="1:9" s="58" customFormat="1" ht="12.75">
      <c r="A22" s="87"/>
      <c r="B22" s="34" t="s">
        <v>124</v>
      </c>
      <c r="C22" s="37">
        <v>801</v>
      </c>
      <c r="D22" s="37">
        <v>80104</v>
      </c>
      <c r="E22" s="83">
        <f>SUM(F22:G22)</f>
        <v>47000</v>
      </c>
      <c r="F22" s="83"/>
      <c r="G22" s="83">
        <f>SUM(H22:I22)</f>
        <v>47000</v>
      </c>
      <c r="H22" s="83">
        <v>47000</v>
      </c>
      <c r="I22" s="91"/>
    </row>
    <row r="23" spans="1:9" s="58" customFormat="1" ht="12.75">
      <c r="A23" s="87"/>
      <c r="B23" s="86"/>
      <c r="C23" s="88"/>
      <c r="D23" s="88"/>
      <c r="E23" s="83"/>
      <c r="F23" s="89"/>
      <c r="G23" s="83"/>
      <c r="H23" s="90"/>
      <c r="I23" s="278"/>
    </row>
    <row r="24" spans="1:9" ht="12.75">
      <c r="A24" s="33">
        <v>6</v>
      </c>
      <c r="B24" s="34" t="s">
        <v>128</v>
      </c>
      <c r="C24" s="37"/>
      <c r="D24" s="37"/>
      <c r="E24" s="83"/>
      <c r="F24" s="83"/>
      <c r="G24" s="83"/>
      <c r="H24" s="84"/>
      <c r="I24" s="85"/>
    </row>
    <row r="25" spans="1:9" ht="12.75">
      <c r="A25" s="33"/>
      <c r="B25" s="34" t="s">
        <v>123</v>
      </c>
      <c r="C25" s="37"/>
      <c r="D25" s="37"/>
      <c r="E25" s="83"/>
      <c r="F25" s="83"/>
      <c r="G25" s="83"/>
      <c r="H25" s="84"/>
      <c r="I25" s="85"/>
    </row>
    <row r="26" spans="1:9" ht="12.75">
      <c r="A26" s="33"/>
      <c r="B26" s="34" t="s">
        <v>125</v>
      </c>
      <c r="C26" s="37">
        <v>801</v>
      </c>
      <c r="D26" s="37">
        <v>80105</v>
      </c>
      <c r="E26" s="83">
        <f>SUM(F26:G26)</f>
        <v>50000</v>
      </c>
      <c r="F26" s="83"/>
      <c r="G26" s="83">
        <f>SUM(H26:I26)</f>
        <v>50000</v>
      </c>
      <c r="H26" s="84">
        <v>50000</v>
      </c>
      <c r="I26" s="85"/>
    </row>
    <row r="27" spans="1:9" ht="12.75">
      <c r="A27" s="33"/>
      <c r="B27" s="34"/>
      <c r="C27" s="37"/>
      <c r="D27" s="37"/>
      <c r="E27" s="83"/>
      <c r="F27" s="83"/>
      <c r="G27" s="83"/>
      <c r="H27" s="84"/>
      <c r="I27" s="85"/>
    </row>
    <row r="28" spans="1:9" ht="12.75">
      <c r="A28" s="33">
        <v>7</v>
      </c>
      <c r="B28" s="34" t="s">
        <v>128</v>
      </c>
      <c r="C28" s="37"/>
      <c r="D28" s="37"/>
      <c r="E28" s="83"/>
      <c r="F28" s="83"/>
      <c r="G28" s="83"/>
      <c r="H28" s="84"/>
      <c r="I28" s="85"/>
    </row>
    <row r="29" spans="1:9" ht="12" customHeight="1">
      <c r="A29" s="33"/>
      <c r="B29" s="157" t="s">
        <v>126</v>
      </c>
      <c r="C29" s="37"/>
      <c r="D29" s="37"/>
      <c r="E29" s="83"/>
      <c r="F29" s="83"/>
      <c r="G29" s="83"/>
      <c r="H29" s="84"/>
      <c r="I29" s="85"/>
    </row>
    <row r="30" spans="1:9" ht="12" customHeight="1">
      <c r="A30" s="33"/>
      <c r="B30" s="34" t="s">
        <v>127</v>
      </c>
      <c r="C30" s="37">
        <v>851</v>
      </c>
      <c r="D30" s="37">
        <v>85154</v>
      </c>
      <c r="E30" s="83">
        <f>SUM(F30:G30)</f>
        <v>30000</v>
      </c>
      <c r="F30" s="83"/>
      <c r="G30" s="83">
        <f>SUM(H30:I30)</f>
        <v>30000</v>
      </c>
      <c r="H30" s="84">
        <v>30000</v>
      </c>
      <c r="I30" s="85"/>
    </row>
    <row r="31" spans="1:9" ht="13.5" thickBot="1">
      <c r="A31" s="338"/>
      <c r="B31" s="34"/>
      <c r="C31" s="37"/>
      <c r="D31" s="37"/>
      <c r="E31" s="83"/>
      <c r="F31" s="83"/>
      <c r="G31" s="83"/>
      <c r="H31" s="941"/>
      <c r="I31" s="85"/>
    </row>
    <row r="32" spans="1:9" ht="12.75">
      <c r="A32" s="280"/>
      <c r="B32" s="54"/>
      <c r="C32" s="54"/>
      <c r="D32" s="54"/>
      <c r="E32" s="281"/>
      <c r="F32" s="281"/>
      <c r="G32" s="281"/>
      <c r="H32" s="281"/>
      <c r="I32" s="282"/>
    </row>
    <row r="33" spans="1:9" ht="13.5" thickBot="1">
      <c r="A33" s="283"/>
      <c r="B33" s="284" t="s">
        <v>393</v>
      </c>
      <c r="C33" s="285" t="s">
        <v>594</v>
      </c>
      <c r="D33" s="285" t="s">
        <v>594</v>
      </c>
      <c r="E33" s="286">
        <f>SUM(E11,E18)</f>
        <v>3203300</v>
      </c>
      <c r="F33" s="286">
        <f>SUM(F11,F18)</f>
        <v>3051300</v>
      </c>
      <c r="G33" s="286">
        <f>SUM(G11,G18)</f>
        <v>152000</v>
      </c>
      <c r="H33" s="286">
        <f>SUM(H11,H18)</f>
        <v>127000</v>
      </c>
      <c r="I33" s="287">
        <f>SUM(I11,I18)</f>
        <v>25000</v>
      </c>
    </row>
    <row r="35" spans="5:9" ht="12">
      <c r="E35" s="97"/>
      <c r="I35" s="97"/>
    </row>
    <row r="36" ht="12">
      <c r="I36" s="10"/>
    </row>
    <row r="41" ht="12">
      <c r="F41" s="849"/>
    </row>
  </sheetData>
  <mergeCells count="12">
    <mergeCell ref="F7:F8"/>
    <mergeCell ref="G7:G8"/>
    <mergeCell ref="H1:I1"/>
    <mergeCell ref="A3:I3"/>
    <mergeCell ref="B5:B8"/>
    <mergeCell ref="C5:C8"/>
    <mergeCell ref="D5:D8"/>
    <mergeCell ref="E5:I5"/>
    <mergeCell ref="E6:E8"/>
    <mergeCell ref="A5:A8"/>
    <mergeCell ref="F6:I6"/>
    <mergeCell ref="H7:I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2008-12-30T10:03:09Z</cp:lastPrinted>
  <dcterms:created xsi:type="dcterms:W3CDTF">2001-05-16T07:18:04Z</dcterms:created>
  <dcterms:modified xsi:type="dcterms:W3CDTF">2009-01-06T06:56:58Z</dcterms:modified>
  <cp:category/>
  <cp:version/>
  <cp:contentType/>
  <cp:contentStatus/>
</cp:coreProperties>
</file>