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-dochody wg źródeł" sheetId="1" r:id="rId1"/>
    <sheet name="1-dochody układzie rodzajowym" sheetId="2" r:id="rId2"/>
    <sheet name="1 - dochody " sheetId="3" r:id="rId3"/>
  </sheets>
  <definedNames>
    <definedName name="_xlnm.Print_Area" localSheetId="2">'1 - dochody '!$A$1:$G$324</definedName>
    <definedName name="_xlnm.Print_Area" localSheetId="1">'1-dochody układzie rodzajowym'!$A$1:$D$67</definedName>
    <definedName name="_xlnm.Print_Area" localSheetId="0">'1-dochody wg źródeł'!$A$1:$F$133</definedName>
  </definedNames>
  <calcPr fullCalcOnLoad="1" fullPrecision="0"/>
</workbook>
</file>

<file path=xl/sharedStrings.xml><?xml version="1.0" encoding="utf-8"?>
<sst xmlns="http://schemas.openxmlformats.org/spreadsheetml/2006/main" count="523" uniqueCount="294">
  <si>
    <t>za 2006 rok</t>
  </si>
  <si>
    <t>ROLNICTWO I ŁOWIECTWO</t>
  </si>
  <si>
    <t>DZIAŁALNOŚĆ USŁUGOWA</t>
  </si>
  <si>
    <t>GOSPODARKA KOMUNALNA</t>
  </si>
  <si>
    <t>Środki na dofinansowanie własnych inwestycji gmin (związków gmin), powiatów (związków powiatów), samorządów  województw, pozyskane z innych źródeł</t>
  </si>
  <si>
    <t>Środki na dofinansowanie własnych inwestycji gmin (związków gmin), powiatów (związków powiatów), samorządów województw, pozyskane z innych źródeł</t>
  </si>
  <si>
    <t>6330</t>
  </si>
  <si>
    <t>Dotacje celowe otrzymane z budżetu państwa na realizację inwestycji i zakupów inwestycyjnych własnych gmin (związków gmin)</t>
  </si>
  <si>
    <t>0979</t>
  </si>
  <si>
    <t>2708</t>
  </si>
  <si>
    <t>Grzywny, mandaty i inne kary pieniężne od osób fizycznych</t>
  </si>
  <si>
    <t>4</t>
  </si>
  <si>
    <t>0460</t>
  </si>
  <si>
    <t>Wpływy z opłaty eksploatacyjnej</t>
  </si>
  <si>
    <t>Wpływy z opłat za wydawanie zezwoleń na sprzedaż alkoholu</t>
  </si>
  <si>
    <t>2680</t>
  </si>
  <si>
    <t>Rekompensaty utraconych dochodów w podatkach i opłatach lokalnych</t>
  </si>
  <si>
    <t>2710</t>
  </si>
  <si>
    <t>Wpływ z tytułu pomocy finansowej udzielonej między jednostkami samorządu terytorialego na dofinansowanie własnych zadań bieżących</t>
  </si>
  <si>
    <t xml:space="preserve">EDUKACYJNA OPIEKA WYCHOWAWCZA </t>
  </si>
  <si>
    <t>Dotacje otrzymane z funduszy celowych na realizację zadań bieżących jednostek sektora finansów publicznych</t>
  </si>
  <si>
    <t xml:space="preserve">KULTURA I OCHRONA DZIEDZICTWA NARODOWEGO </t>
  </si>
  <si>
    <t>Sprawozdanie</t>
  </si>
  <si>
    <t>z wykonania budżetu Gminy Police</t>
  </si>
  <si>
    <t xml:space="preserve">Wykonanie </t>
  </si>
  <si>
    <t xml:space="preserve">     m) opłata administracyjna</t>
  </si>
  <si>
    <t xml:space="preserve">     n) rekompensaty utraconych dochodów w podatkach i opłatach</t>
  </si>
  <si>
    <t xml:space="preserve">        lokalnych</t>
  </si>
  <si>
    <t xml:space="preserve">     o) odsetki</t>
  </si>
  <si>
    <t xml:space="preserve">     p) pozostałe</t>
  </si>
  <si>
    <t xml:space="preserve">         - dotacje, z tego:</t>
  </si>
  <si>
    <t xml:space="preserve">         - z budżetu państwa </t>
  </si>
  <si>
    <t xml:space="preserve">         - z Powiatu Polickiego</t>
  </si>
  <si>
    <t xml:space="preserve">         - środki, z tego:</t>
  </si>
  <si>
    <t xml:space="preserve">         - z funduszy strukturalnych INTERREG III</t>
  </si>
  <si>
    <t xml:space="preserve">         - z Województwa Zachodniopomorskiego</t>
  </si>
  <si>
    <t>Realizacja                         4:3</t>
  </si>
  <si>
    <t>WYTWARZANIE I ZAOPATRYWANIE W</t>
  </si>
  <si>
    <t>ENERGIĘ ELEKTRYCZNĄ, GAZ I WODĘ</t>
  </si>
  <si>
    <t xml:space="preserve">GOSPODARKA KOMUNALNA </t>
  </si>
  <si>
    <t>I OCHRONA ŚRODOWISKA</t>
  </si>
  <si>
    <t>Realizacja                         5:4</t>
  </si>
  <si>
    <t>Wpływy z podatku rolnego, podatku leśnego, podatku od czynności</t>
  </si>
  <si>
    <t>cywilnoprawnych, podatków i opłat lokalnych od osób prawnych</t>
  </si>
  <si>
    <t>Wpływy z podatku rolnego, podatku leśnego</t>
  </si>
  <si>
    <t xml:space="preserve">podatku rolnego, podatku leśnego, podatku od spadków i darowizn </t>
  </si>
  <si>
    <t>podatku od czynności cywilnoprawnych oraz podatków i opłat lokalnych</t>
  </si>
  <si>
    <t>od osób fizycznych</t>
  </si>
  <si>
    <t xml:space="preserve">Udziały gminy w podatkach stanowiących </t>
  </si>
  <si>
    <t xml:space="preserve">Różne rozliczenia finansowe </t>
  </si>
  <si>
    <t xml:space="preserve">Świadczenia rodzinne, zaliczka alimentacyjna oraz składki </t>
  </si>
  <si>
    <t>na ubezpieczenia emerytalne i rentowe z ubezpieczenia społecznego</t>
  </si>
  <si>
    <t xml:space="preserve">Instytucje kultury fizycznej </t>
  </si>
  <si>
    <t xml:space="preserve">          ustawami.</t>
  </si>
  <si>
    <t>Realizacja                         6:5</t>
  </si>
  <si>
    <t>Wybory do rad gmin, rad powiatów i sejmików województw, wybory wójtów,</t>
  </si>
  <si>
    <t xml:space="preserve">burmistrzów i prezydentów miast oraz referenda gminne, powiatowe </t>
  </si>
  <si>
    <t>i wojewódzkie</t>
  </si>
  <si>
    <t>Składki na ubezpieczenia zdrowotne opłacane</t>
  </si>
  <si>
    <t xml:space="preserve">za osoby pobierające niektóre świadczenia z pomocy społecznej </t>
  </si>
  <si>
    <t>Zasiłki i pomoc w naturze oraz składki na ubezpieczenia emerytalne                                       i rentowe</t>
  </si>
  <si>
    <t xml:space="preserve">1.3.4. Dochody związane z realizacją zadań z zakresu działania innych jednostek </t>
  </si>
  <si>
    <t xml:space="preserve">          samorządu terytorialnego             </t>
  </si>
  <si>
    <t>Realizacja 6:5</t>
  </si>
  <si>
    <t xml:space="preserve">                      </t>
  </si>
  <si>
    <t xml:space="preserve">Dotacje celowe otrzymane z powiatu na zadania bieżące </t>
  </si>
  <si>
    <t>realizowane na podstawie porozumień (umów) między jednostkami</t>
  </si>
  <si>
    <t>1.3.5. Dochody podlegające przekazaniu do budżetu państwa.</t>
  </si>
  <si>
    <t xml:space="preserve">1.1.3.3. Dochody związane z realizacją zadań zleconych z zakresu administracji rządowej i innych zadań zleconych                                                  </t>
  </si>
  <si>
    <t>Zakłady gospodarki mieszkaniowej</t>
  </si>
  <si>
    <t>Plany zagospodarowania przestrzennego</t>
  </si>
  <si>
    <t>samorządu terytorialnego</t>
  </si>
  <si>
    <t>Dokształcanie i doskonalenie nauczycieli</t>
  </si>
  <si>
    <t>Dodatki mieszkaniowe</t>
  </si>
  <si>
    <t>oraz niektóre świadczenia rodzinne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</si>
  <si>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</si>
  <si>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</si>
  <si>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</si>
  <si>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</si>
  <si>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</si>
  <si>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2440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</si>
  <si>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</si>
  <si>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</si>
  <si>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</si>
  <si>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</si>
  <si>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</si>
  <si>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</si>
  <si>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</si>
  <si>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</si>
  <si>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</si>
  <si>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</si>
  <si>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</si>
  <si>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</si>
  <si>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</si>
  <si>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</si>
  <si>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</si>
  <si>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</si>
  <si>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</si>
  <si>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</si>
  <si>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</si>
  <si>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</si>
  <si>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</si>
  <si>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</si>
  <si>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</si>
  <si>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</si>
  <si>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</si>
  <si>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</si>
  <si>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</si>
  <si>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KULTURA FIZYCZNA I SPORT</t>
  </si>
  <si>
    <t>Przedszkola</t>
  </si>
  <si>
    <t>Gospodarka ściekowa i ochrona wód</t>
  </si>
  <si>
    <t>1.1. Zestawienie wykonania dochodów budżetu Gminy Police.</t>
  </si>
  <si>
    <t>1.1.1. Zestawienie według działów klasyfikacji i ważniejszych źródeł.</t>
  </si>
  <si>
    <t>Realizacja
5:4</t>
  </si>
  <si>
    <t>1.1.2. Zestawienie dochodów w układzie rodzajowym.</t>
  </si>
  <si>
    <t>Realizacja</t>
  </si>
  <si>
    <t xml:space="preserve"> 3:2</t>
  </si>
  <si>
    <t>1.1.3. Zestawienie według działów i rozdziałów klasyfikacji budżetowej.</t>
  </si>
  <si>
    <t>1.1.3.1. Ogółem według działów.</t>
  </si>
  <si>
    <t>1.1.3.2. Dochody związane z realizacją zadań własnych.</t>
  </si>
  <si>
    <t>6:5</t>
  </si>
  <si>
    <t>1. CZĘŚĆ TABELARYCZNA</t>
  </si>
  <si>
    <t>Domy i ośrodki kultury, świetlice i kluby</t>
  </si>
  <si>
    <t>Urzędy wojewódzkie</t>
  </si>
  <si>
    <t>w zł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</si>
  <si>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</si>
  <si>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</si>
  <si>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</si>
  <si>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Wykonanie</t>
  </si>
  <si>
    <t>2370</t>
  </si>
  <si>
    <t>6298</t>
  </si>
  <si>
    <t>6291</t>
  </si>
  <si>
    <t>6262</t>
  </si>
  <si>
    <t>6269</t>
  </si>
  <si>
    <t>Wpływy do budżetu nadwyżki środków obrotowych zakładu budżetowego</t>
  </si>
  <si>
    <t>0870</t>
  </si>
  <si>
    <t>Wpływy ze sprzedaży składników majątkowych</t>
  </si>
  <si>
    <t>0450</t>
  </si>
  <si>
    <t>i innych jednostek organizacyjnych</t>
  </si>
  <si>
    <t xml:space="preserve">Pozostała działalność </t>
  </si>
  <si>
    <t>2910</t>
  </si>
  <si>
    <t>2705</t>
  </si>
  <si>
    <t>Wpływy ze zwrotów dotacji wykorzystanych niezgodnie z przeznaczeniem lub pobranych w nadmiernej wysokości</t>
  </si>
  <si>
    <t>Wpływy z opłaty administracyjnej za czynności urzędowe</t>
  </si>
  <si>
    <t>Promocja jednostek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</si>
  <si>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</si>
  <si>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Część równoważąca subwencji ogólnej dla gmin</t>
  </si>
  <si>
    <t>Część oświatowa subwencji ogólnej dla jednostek samorządu terytorialnego</t>
  </si>
  <si>
    <t>WYTWARZANIE I ZAOPATRYWANIE</t>
  </si>
  <si>
    <t>W ENERGIĘ ELEKTRYCZNĄ, GAZ I WODĘ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</si>
  <si>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</si>
  <si>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</si>
  <si>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</si>
  <si>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</si>
  <si>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</si>
  <si>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</si>
  <si>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</si>
  <si>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</si>
  <si>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</si>
  <si>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Ośrodki pomocy społecznej</t>
  </si>
  <si>
    <t>Nazwa podziałki klasyfikacji budżetowej</t>
  </si>
  <si>
    <t>6260</t>
  </si>
  <si>
    <t>0470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</si>
  <si>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</si>
  <si>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</si>
  <si>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</si>
  <si>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</si>
  <si>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</si>
  <si>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</si>
  <si>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</si>
  <si>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</si>
  <si>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</si>
  <si>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</si>
  <si>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</si>
  <si>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</si>
  <si>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</si>
  <si>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</si>
  <si>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</si>
  <si>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</si>
  <si>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</si>
  <si>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</si>
  <si>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</si>
  <si>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</si>
  <si>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</si>
  <si>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</si>
  <si>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</si>
  <si>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</si>
  <si>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</si>
  <si>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</si>
  <si>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2320</t>
  </si>
  <si>
    <t>RAZEM: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</si>
  <si>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</si>
  <si>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</si>
  <si>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</si>
  <si>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</si>
  <si>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</si>
  <si>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</si>
  <si>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</si>
  <si>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</si>
  <si>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</si>
  <si>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</si>
  <si>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</si>
  <si>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</si>
  <si>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</si>
  <si>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</si>
  <si>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</si>
  <si>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</si>
  <si>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</si>
  <si>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</si>
  <si>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</si>
  <si>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</si>
  <si>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</si>
  <si>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</si>
  <si>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</si>
  <si>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</si>
  <si>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</si>
  <si>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</si>
  <si>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</si>
  <si>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</si>
  <si>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Zaległości z podatków zniesionych</t>
  </si>
  <si>
    <t xml:space="preserve">     l) opłata za korzystanie z zezwoleń na sprzedaż</t>
  </si>
  <si>
    <t xml:space="preserve">         napojów alkoholowych</t>
  </si>
  <si>
    <t>0580</t>
  </si>
  <si>
    <t>Grzywny i inne kary pieniężne od osób prawnych i innych jednostek organizacyjnych</t>
  </si>
  <si>
    <t>1510</t>
  </si>
  <si>
    <t>Różnice kursowe</t>
  </si>
  <si>
    <t xml:space="preserve">Świadczenia rodzinne, zaliczka alimentacyjna oraz składki na </t>
  </si>
  <si>
    <t>ubezpieczenia emerytalne i rentowe z ubezpieczenia społecznego</t>
  </si>
  <si>
    <t>Usuwanie skutków klęsk żywiołowych</t>
  </si>
  <si>
    <t>01095</t>
  </si>
  <si>
    <t>Urzędy gmin (miast i miast na prawach powiatu)</t>
  </si>
  <si>
    <t>Subwencje ogólne z budżetu państwa</t>
  </si>
  <si>
    <t xml:space="preserve"> </t>
  </si>
  <si>
    <t>Wyszczególnienie</t>
  </si>
  <si>
    <t>Plan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</si>
  <si>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</si>
  <si>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</si>
  <si>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</si>
  <si>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</si>
  <si>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</si>
  <si>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</si>
  <si>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</si>
  <si>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</si>
  <si>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</si>
  <si>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</si>
  <si>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</si>
  <si>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</si>
  <si>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</si>
  <si>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</si>
  <si>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</si>
  <si>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</si>
  <si>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</si>
  <si>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</si>
  <si>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ł) opłata skarbowa</t>
  </si>
  <si>
    <t xml:space="preserve">  2. Dochody z majątku gminy:</t>
  </si>
  <si>
    <t xml:space="preserve">     a) wieczyste użytkowanie, zarząd, użytkowanie</t>
  </si>
  <si>
    <t>2700</t>
  </si>
  <si>
    <t>Zasiłki i pomoc w naturze oraz składki na ubezpieczenia emerytalne i rentowe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</si>
  <si>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</si>
  <si>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</si>
  <si>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</si>
  <si>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</si>
  <si>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</si>
  <si>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</si>
  <si>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</si>
  <si>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</si>
  <si>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</si>
  <si>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</si>
  <si>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</si>
  <si>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</si>
  <si>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</si>
  <si>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</si>
  <si>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</si>
  <si>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</si>
  <si>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</si>
  <si>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    - z funduszy strukturalnych ZPORR</t>
  </si>
  <si>
    <t xml:space="preserve">         - z funduszy celowych</t>
  </si>
  <si>
    <t xml:space="preserve">         - z funduszu prewencyjnego PZU</t>
  </si>
  <si>
    <t xml:space="preserve">         - z funduszu PHARE CBC</t>
  </si>
  <si>
    <t xml:space="preserve">         - z Polsko-Niemieckiej Współpracy Młodzieży</t>
  </si>
  <si>
    <t xml:space="preserve">     a) na zadania własne, z tego:</t>
  </si>
  <si>
    <t xml:space="preserve">        zlecone gminie oraz inne zlecone ustawami, z tego:</t>
  </si>
  <si>
    <t xml:space="preserve">     b) na zadania zlecone z zakresu administracji rządowej</t>
  </si>
  <si>
    <t xml:space="preserve">         - dotacje z budżetu państwa</t>
  </si>
  <si>
    <t>I OCHRONA PRZECIWPOŻAROWA</t>
  </si>
  <si>
    <t>DOCHODY OD OSÓB PRAWNYCH, OD OSÓB</t>
  </si>
  <si>
    <t>RÓŻNE ROZLICZENIA</t>
  </si>
  <si>
    <t>OŚWIATA I WYCHOWANIE</t>
  </si>
  <si>
    <t>OCHRONA ZDROWIA</t>
  </si>
  <si>
    <t>EDUKACYJNA OPIEKA WYCHOWAWCZA</t>
  </si>
  <si>
    <t>RAZEM</t>
  </si>
  <si>
    <t>Rozdział</t>
  </si>
  <si>
    <t>Treść</t>
  </si>
  <si>
    <t>010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</si>
</sst>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color indexed="18"/>
      <name val="Times New Roman"/>
      <family val="1"/>
    </font>
    <font>
      <b/>
      <sz val="18"/>
      <color indexed="20"/>
      <name val="Times New Roman"/>
      <family val="1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name val="Arial PL"/>
      <family val="0"/>
    </font>
    <font>
      <b/>
      <sz val="9"/>
      <color indexed="10"/>
      <name val="Arial CE"/>
      <family val="0"/>
    </font>
    <font>
      <sz val="10"/>
      <color indexed="57"/>
      <name val="Arial CE"/>
      <family val="0"/>
    </font>
    <font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10" fontId="4" fillId="0" borderId="1" xfId="21" applyNumberFormat="1" applyFont="1" applyBorder="1" applyAlignment="1">
      <alignment/>
    </xf>
    <xf numFmtId="10" fontId="4" fillId="0" borderId="2" xfId="21" applyNumberFormat="1" applyFont="1" applyBorder="1" applyAlignment="1">
      <alignment/>
    </xf>
    <xf numFmtId="10" fontId="4" fillId="0" borderId="3" xfId="21" applyNumberFormat="1" applyFont="1" applyBorder="1" applyAlignment="1">
      <alignment/>
    </xf>
    <xf numFmtId="0" fontId="15" fillId="0" borderId="0" xfId="18" applyFont="1" applyAlignment="1">
      <alignment horizontal="center"/>
      <protection/>
    </xf>
    <xf numFmtId="0" fontId="0" fillId="0" borderId="0" xfId="18">
      <alignment/>
      <protection/>
    </xf>
    <xf numFmtId="0" fontId="11" fillId="0" borderId="0" xfId="18" applyFont="1" applyAlignment="1">
      <alignment horizontal="centerContinuous"/>
      <protection/>
    </xf>
    <xf numFmtId="0" fontId="7" fillId="0" borderId="0" xfId="18" applyFont="1" applyAlignment="1">
      <alignment horizontal="centerContinuous"/>
      <protection/>
    </xf>
    <xf numFmtId="0" fontId="10" fillId="0" borderId="0" xfId="18" applyFont="1">
      <alignment/>
      <protection/>
    </xf>
    <xf numFmtId="49" fontId="0" fillId="0" borderId="0" xfId="18" applyNumberFormat="1">
      <alignment/>
      <protection/>
    </xf>
    <xf numFmtId="0" fontId="0" fillId="0" borderId="0" xfId="18" applyAlignment="1">
      <alignment horizontal="left"/>
      <protection/>
    </xf>
    <xf numFmtId="0" fontId="10" fillId="0" borderId="0" xfId="18" applyFont="1" applyAlignment="1">
      <alignment horizontal="center" vertical="center" wrapText="1"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left" vertical="center" wrapText="1"/>
      <protection/>
    </xf>
    <xf numFmtId="0" fontId="12" fillId="0" borderId="0" xfId="18" applyFont="1" applyAlignment="1">
      <alignment horizontal="right" vertical="center" wrapText="1"/>
      <protection/>
    </xf>
    <xf numFmtId="0" fontId="0" fillId="0" borderId="0" xfId="18" applyFont="1">
      <alignment/>
      <protection/>
    </xf>
    <xf numFmtId="0" fontId="10" fillId="0" borderId="0" xfId="18" applyFont="1" applyAlignment="1">
      <alignment horizontal="center" wrapText="1"/>
      <protection/>
    </xf>
    <xf numFmtId="49" fontId="0" fillId="0" borderId="0" xfId="18" applyNumberFormat="1" applyFont="1" applyAlignment="1">
      <alignment horizontal="center" wrapText="1"/>
      <protection/>
    </xf>
    <xf numFmtId="0" fontId="0" fillId="0" borderId="0" xfId="18" applyFont="1" applyAlignment="1">
      <alignment horizontal="left" wrapText="1"/>
      <protection/>
    </xf>
    <xf numFmtId="0" fontId="0" fillId="0" borderId="0" xfId="18" applyFont="1" applyAlignment="1">
      <alignment horizontal="center" wrapText="1"/>
      <protection/>
    </xf>
    <xf numFmtId="49" fontId="0" fillId="0" borderId="0" xfId="18" applyNumberFormat="1" applyFont="1">
      <alignment/>
      <protection/>
    </xf>
    <xf numFmtId="0" fontId="0" fillId="0" borderId="0" xfId="18" applyFont="1" applyAlignment="1">
      <alignment horizontal="left"/>
      <protection/>
    </xf>
    <xf numFmtId="0" fontId="6" fillId="0" borderId="0" xfId="18" applyFont="1">
      <alignment/>
      <protection/>
    </xf>
    <xf numFmtId="0" fontId="0" fillId="0" borderId="0" xfId="18" applyFont="1">
      <alignment/>
      <protection/>
    </xf>
    <xf numFmtId="0" fontId="12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0" fillId="0" borderId="0" xfId="18" applyFont="1" applyBorder="1">
      <alignment/>
      <protection/>
    </xf>
    <xf numFmtId="0" fontId="0" fillId="0" borderId="4" xfId="18" applyFont="1" applyBorder="1">
      <alignment/>
      <protection/>
    </xf>
    <xf numFmtId="0" fontId="0" fillId="0" borderId="5" xfId="18" applyFont="1" applyBorder="1">
      <alignment/>
      <protection/>
    </xf>
    <xf numFmtId="0" fontId="12" fillId="0" borderId="0" xfId="18" applyFont="1" applyBorder="1" applyAlignment="1">
      <alignment horizontal="right"/>
      <protection/>
    </xf>
    <xf numFmtId="0" fontId="0" fillId="2" borderId="0" xfId="18" applyFont="1" applyFill="1">
      <alignment/>
      <protection/>
    </xf>
    <xf numFmtId="0" fontId="0" fillId="2" borderId="6" xfId="18" applyFont="1" applyFill="1" applyBorder="1" applyAlignment="1">
      <alignment horizontal="center"/>
      <protection/>
    </xf>
    <xf numFmtId="0" fontId="0" fillId="2" borderId="7" xfId="18" applyFont="1" applyFill="1" applyBorder="1" applyAlignment="1">
      <alignment horizontal="center"/>
      <protection/>
    </xf>
    <xf numFmtId="0" fontId="0" fillId="2" borderId="8" xfId="18" applyFont="1" applyFill="1" applyBorder="1">
      <alignment/>
      <protection/>
    </xf>
    <xf numFmtId="0" fontId="0" fillId="2" borderId="9" xfId="18" applyFont="1" applyFill="1" applyBorder="1" applyAlignment="1">
      <alignment horizontal="center"/>
      <protection/>
    </xf>
    <xf numFmtId="0" fontId="0" fillId="2" borderId="10" xfId="18" applyFont="1" applyFill="1" applyBorder="1" applyAlignment="1">
      <alignment horizontal="center"/>
      <protection/>
    </xf>
    <xf numFmtId="0" fontId="0" fillId="2" borderId="5" xfId="18" applyFont="1" applyFill="1" applyBorder="1">
      <alignment/>
      <protection/>
    </xf>
    <xf numFmtId="0" fontId="0" fillId="2" borderId="4" xfId="18" applyFont="1" applyFill="1" applyBorder="1">
      <alignment/>
      <protection/>
    </xf>
    <xf numFmtId="0" fontId="0" fillId="2" borderId="11" xfId="18" applyFont="1" applyFill="1" applyBorder="1">
      <alignment/>
      <protection/>
    </xf>
    <xf numFmtId="0" fontId="6" fillId="2" borderId="12" xfId="18" applyFont="1" applyFill="1" applyBorder="1" applyAlignment="1">
      <alignment horizontal="center"/>
      <protection/>
    </xf>
    <xf numFmtId="0" fontId="6" fillId="2" borderId="13" xfId="18" applyFont="1" applyFill="1" applyBorder="1" applyAlignment="1">
      <alignment horizontal="center"/>
      <protection/>
    </xf>
    <xf numFmtId="0" fontId="6" fillId="2" borderId="14" xfId="18" applyFont="1" applyFill="1" applyBorder="1" applyAlignment="1">
      <alignment horizontal="center"/>
      <protection/>
    </xf>
    <xf numFmtId="3" fontId="6" fillId="2" borderId="13" xfId="18" applyNumberFormat="1" applyFont="1" applyFill="1" applyBorder="1">
      <alignment/>
      <protection/>
    </xf>
    <xf numFmtId="0" fontId="6" fillId="2" borderId="13" xfId="18" applyFont="1" applyFill="1" applyBorder="1">
      <alignment/>
      <protection/>
    </xf>
    <xf numFmtId="0" fontId="7" fillId="2" borderId="15" xfId="18" applyFont="1" applyFill="1" applyBorder="1">
      <alignment/>
      <protection/>
    </xf>
    <xf numFmtId="0" fontId="7" fillId="2" borderId="16" xfId="18" applyFont="1" applyFill="1" applyBorder="1">
      <alignment/>
      <protection/>
    </xf>
    <xf numFmtId="0" fontId="7" fillId="2" borderId="17" xfId="18" applyFont="1" applyFill="1" applyBorder="1" applyAlignment="1">
      <alignment/>
      <protection/>
    </xf>
    <xf numFmtId="3" fontId="7" fillId="2" borderId="16" xfId="18" applyNumberFormat="1" applyFont="1" applyFill="1" applyBorder="1">
      <alignment/>
      <protection/>
    </xf>
    <xf numFmtId="0" fontId="4" fillId="0" borderId="4" xfId="19" applyFont="1" applyBorder="1" applyAlignment="1">
      <alignment horizontal="left"/>
      <protection/>
    </xf>
    <xf numFmtId="0" fontId="4" fillId="0" borderId="11" xfId="19" applyFont="1" applyBorder="1" applyAlignment="1">
      <alignment horizontal="left"/>
      <protection/>
    </xf>
    <xf numFmtId="0" fontId="8" fillId="3" borderId="18" xfId="19" applyFont="1" applyFill="1" applyBorder="1" applyAlignment="1">
      <alignment horizontal="center"/>
      <protection/>
    </xf>
    <xf numFmtId="0" fontId="0" fillId="0" borderId="0" xfId="19" applyFont="1">
      <alignment/>
      <protection/>
    </xf>
    <xf numFmtId="49" fontId="10" fillId="0" borderId="19" xfId="19" applyNumberFormat="1" applyFont="1" applyFill="1" applyBorder="1" applyAlignment="1">
      <alignment horizontal="center" vertical="center" wrapText="1"/>
      <protection/>
    </xf>
    <xf numFmtId="49" fontId="10" fillId="0" borderId="20" xfId="19" applyNumberFormat="1" applyFont="1" applyFill="1" applyBorder="1" applyAlignment="1">
      <alignment horizontal="center" vertical="center" wrapText="1"/>
      <protection/>
    </xf>
    <xf numFmtId="0" fontId="10" fillId="0" borderId="20" xfId="19" applyFont="1" applyFill="1" applyBorder="1" applyAlignment="1">
      <alignment horizontal="left" vertical="center" wrapText="1"/>
      <protection/>
    </xf>
    <xf numFmtId="167" fontId="10" fillId="0" borderId="21" xfId="15" applyNumberFormat="1" applyFont="1" applyFill="1" applyBorder="1" applyAlignment="1">
      <alignment horizontal="right" vertical="center" wrapText="1"/>
    </xf>
    <xf numFmtId="43" fontId="10" fillId="0" borderId="21" xfId="15" applyNumberFormat="1" applyFont="1" applyFill="1" applyBorder="1" applyAlignment="1">
      <alignment horizontal="right" vertical="center" wrapText="1"/>
    </xf>
    <xf numFmtId="10" fontId="1" fillId="0" borderId="22" xfId="21" applyNumberFormat="1" applyFont="1" applyFill="1" applyBorder="1" applyAlignment="1">
      <alignment horizontal="right" vertical="center" wrapText="1"/>
    </xf>
    <xf numFmtId="0" fontId="10" fillId="0" borderId="0" xfId="19" applyFont="1">
      <alignment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49" fontId="0" fillId="0" borderId="23" xfId="19" applyNumberFormat="1" applyFont="1" applyFill="1" applyBorder="1" applyAlignment="1">
      <alignment horizontal="center" vertical="center" wrapText="1"/>
      <protection/>
    </xf>
    <xf numFmtId="0" fontId="0" fillId="0" borderId="7" xfId="19" applyFont="1" applyBorder="1" applyAlignment="1">
      <alignment horizontal="left" vertical="center" wrapText="1"/>
      <protection/>
    </xf>
    <xf numFmtId="167" fontId="0" fillId="0" borderId="18" xfId="15" applyNumberFormat="1" applyFont="1" applyFill="1" applyBorder="1" applyAlignment="1">
      <alignment horizontal="right" vertical="center" wrapText="1"/>
    </xf>
    <xf numFmtId="43" fontId="0" fillId="0" borderId="18" xfId="15" applyNumberFormat="1" applyFont="1" applyFill="1" applyBorder="1" applyAlignment="1">
      <alignment horizontal="right" vertical="center" wrapText="1"/>
    </xf>
    <xf numFmtId="10" fontId="0" fillId="0" borderId="2" xfId="21" applyNumberFormat="1" applyFont="1" applyFill="1" applyBorder="1" applyAlignment="1">
      <alignment horizontal="right" vertical="center" wrapText="1"/>
    </xf>
    <xf numFmtId="0" fontId="10" fillId="0" borderId="19" xfId="19" applyFont="1" applyFill="1" applyBorder="1" applyAlignment="1">
      <alignment horizontal="center" vertical="center" wrapText="1"/>
      <protection/>
    </xf>
    <xf numFmtId="49" fontId="0" fillId="0" borderId="24" xfId="19" applyNumberFormat="1" applyFont="1" applyFill="1" applyBorder="1" applyAlignment="1">
      <alignment horizontal="center" vertical="center" wrapText="1"/>
      <protection/>
    </xf>
    <xf numFmtId="0" fontId="0" fillId="0" borderId="24" xfId="19" applyFont="1" applyBorder="1" applyAlignment="1">
      <alignment horizontal="left" vertical="center" wrapText="1"/>
      <protection/>
    </xf>
    <xf numFmtId="167" fontId="0" fillId="0" borderId="25" xfId="15" applyNumberFormat="1" applyFont="1" applyFill="1" applyBorder="1" applyAlignment="1">
      <alignment horizontal="right" vertical="center" wrapText="1"/>
    </xf>
    <xf numFmtId="43" fontId="0" fillId="0" borderId="25" xfId="15" applyNumberFormat="1" applyFont="1" applyFill="1" applyBorder="1" applyAlignment="1">
      <alignment horizontal="right" vertical="center" wrapText="1"/>
    </xf>
    <xf numFmtId="0" fontId="10" fillId="0" borderId="9" xfId="19" applyFont="1" applyBorder="1" applyAlignment="1">
      <alignment horizontal="center" vertical="center" wrapText="1"/>
      <protection/>
    </xf>
    <xf numFmtId="49" fontId="0" fillId="0" borderId="26" xfId="19" applyNumberFormat="1" applyFont="1" applyBorder="1" applyAlignment="1">
      <alignment horizontal="center" vertical="center" wrapText="1"/>
      <protection/>
    </xf>
    <xf numFmtId="0" fontId="0" fillId="0" borderId="26" xfId="19" applyFont="1" applyBorder="1" applyAlignment="1">
      <alignment horizontal="left" vertical="center" wrapText="1"/>
      <protection/>
    </xf>
    <xf numFmtId="167" fontId="0" fillId="0" borderId="4" xfId="15" applyNumberFormat="1" applyFont="1" applyBorder="1" applyAlignment="1">
      <alignment horizontal="right" vertical="center" wrapText="1"/>
    </xf>
    <xf numFmtId="43" fontId="0" fillId="0" borderId="26" xfId="15" applyNumberFormat="1" applyFont="1" applyBorder="1" applyAlignment="1">
      <alignment horizontal="right" vertical="center" wrapText="1"/>
    </xf>
    <xf numFmtId="0" fontId="0" fillId="0" borderId="0" xfId="19" applyFont="1">
      <alignment/>
      <protection/>
    </xf>
    <xf numFmtId="49" fontId="0" fillId="0" borderId="27" xfId="19" applyNumberFormat="1" applyFont="1" applyBorder="1" applyAlignment="1">
      <alignment horizontal="center" vertical="center" wrapText="1"/>
      <protection/>
    </xf>
    <xf numFmtId="0" fontId="0" fillId="0" borderId="10" xfId="19" applyFont="1" applyBorder="1" applyAlignment="1">
      <alignment horizontal="left" vertical="center" wrapText="1"/>
      <protection/>
    </xf>
    <xf numFmtId="167" fontId="0" fillId="0" borderId="5" xfId="15" applyNumberFormat="1" applyFont="1" applyBorder="1" applyAlignment="1">
      <alignment horizontal="right" vertical="center" wrapText="1"/>
    </xf>
    <xf numFmtId="43" fontId="0" fillId="0" borderId="10" xfId="15" applyNumberFormat="1" applyFont="1" applyBorder="1" applyAlignment="1">
      <alignment horizontal="right" vertical="center" wrapText="1"/>
    </xf>
    <xf numFmtId="10" fontId="0" fillId="0" borderId="1" xfId="21" applyNumberFormat="1" applyFont="1" applyFill="1" applyBorder="1" applyAlignment="1">
      <alignment horizontal="right" vertical="center" wrapText="1"/>
    </xf>
    <xf numFmtId="177" fontId="10" fillId="0" borderId="21" xfId="15" applyNumberFormat="1" applyFont="1" applyFill="1" applyBorder="1" applyAlignment="1">
      <alignment horizontal="right" vertical="center" wrapText="1"/>
    </xf>
    <xf numFmtId="10" fontId="10" fillId="0" borderId="22" xfId="21" applyNumberFormat="1" applyFont="1" applyFill="1" applyBorder="1" applyAlignment="1">
      <alignment horizontal="right" vertical="center" wrapText="1"/>
    </xf>
    <xf numFmtId="0" fontId="10" fillId="0" borderId="28" xfId="19" applyFont="1" applyFill="1" applyBorder="1" applyAlignment="1">
      <alignment horizontal="center" vertical="center" wrapText="1"/>
      <protection/>
    </xf>
    <xf numFmtId="0" fontId="0" fillId="0" borderId="29" xfId="19" applyFont="1" applyFill="1" applyBorder="1" applyAlignment="1">
      <alignment horizontal="left" vertical="center" wrapText="1"/>
      <protection/>
    </xf>
    <xf numFmtId="167" fontId="0" fillId="0" borderId="4" xfId="15" applyNumberFormat="1" applyFont="1" applyFill="1" applyBorder="1" applyAlignment="1">
      <alignment horizontal="right" vertical="center" wrapText="1"/>
    </xf>
    <xf numFmtId="43" fontId="0" fillId="0" borderId="26" xfId="15" applyNumberFormat="1" applyFont="1" applyFill="1" applyBorder="1" applyAlignment="1">
      <alignment horizontal="right" vertical="center" wrapText="1"/>
    </xf>
    <xf numFmtId="0" fontId="10" fillId="0" borderId="28" xfId="19" applyFont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left" vertical="center" wrapText="1"/>
      <protection/>
    </xf>
    <xf numFmtId="49" fontId="0" fillId="0" borderId="10" xfId="19" applyNumberFormat="1" applyFont="1" applyBorder="1" applyAlignment="1">
      <alignment horizontal="center" vertical="center" wrapText="1"/>
      <protection/>
    </xf>
    <xf numFmtId="49" fontId="0" fillId="0" borderId="24" xfId="19" applyNumberFormat="1" applyFont="1" applyBorder="1" applyAlignment="1">
      <alignment horizontal="center" vertical="center" wrapText="1"/>
      <protection/>
    </xf>
    <xf numFmtId="167" fontId="0" fillId="0" borderId="25" xfId="15" applyNumberFormat="1" applyFont="1" applyBorder="1" applyAlignment="1">
      <alignment horizontal="right" vertical="center" wrapText="1"/>
    </xf>
    <xf numFmtId="43" fontId="0" fillId="0" borderId="24" xfId="15" applyNumberFormat="1" applyFont="1" applyBorder="1" applyAlignment="1">
      <alignment horizontal="right" vertical="center" wrapText="1"/>
    </xf>
    <xf numFmtId="43" fontId="0" fillId="0" borderId="5" xfId="15" applyNumberFormat="1" applyFont="1" applyBorder="1" applyAlignment="1">
      <alignment horizontal="right" vertical="center" wrapText="1"/>
    </xf>
    <xf numFmtId="0" fontId="21" fillId="0" borderId="0" xfId="19" applyFont="1">
      <alignment/>
      <protection/>
    </xf>
    <xf numFmtId="49" fontId="0" fillId="0" borderId="29" xfId="19" applyNumberFormat="1" applyFont="1" applyBorder="1" applyAlignment="1">
      <alignment horizontal="center" vertical="center" wrapText="1"/>
      <protection/>
    </xf>
    <xf numFmtId="0" fontId="17" fillId="0" borderId="0" xfId="19" applyFont="1">
      <alignment/>
      <protection/>
    </xf>
    <xf numFmtId="49" fontId="0" fillId="0" borderId="29" xfId="19" applyNumberFormat="1" applyFont="1" applyFill="1" applyBorder="1" applyAlignment="1">
      <alignment horizontal="center" vertical="center" wrapText="1"/>
      <protection/>
    </xf>
    <xf numFmtId="0" fontId="0" fillId="0" borderId="26" xfId="19" applyFont="1" applyFill="1" applyBorder="1" applyAlignment="1">
      <alignment horizontal="left" vertical="center" wrapText="1"/>
      <protection/>
    </xf>
    <xf numFmtId="0" fontId="17" fillId="0" borderId="0" xfId="19" applyFont="1" applyFill="1">
      <alignment/>
      <protection/>
    </xf>
    <xf numFmtId="49" fontId="0" fillId="0" borderId="30" xfId="19" applyNumberFormat="1" applyFont="1" applyBorder="1" applyAlignment="1">
      <alignment horizontal="center" vertical="center" wrapText="1"/>
      <protection/>
    </xf>
    <xf numFmtId="49" fontId="0" fillId="0" borderId="10" xfId="19" applyNumberFormat="1" applyFont="1" applyFill="1" applyBorder="1" applyAlignment="1">
      <alignment horizontal="center" vertical="center" wrapText="1"/>
      <protection/>
    </xf>
    <xf numFmtId="0" fontId="0" fillId="0" borderId="7" xfId="19" applyFont="1" applyFill="1" applyBorder="1" applyAlignment="1">
      <alignment horizontal="left" vertical="center" wrapText="1"/>
      <protection/>
    </xf>
    <xf numFmtId="167" fontId="0" fillId="0" borderId="5" xfId="15" applyNumberFormat="1" applyFont="1" applyFill="1" applyBorder="1" applyAlignment="1">
      <alignment horizontal="right" vertical="center" wrapText="1"/>
    </xf>
    <xf numFmtId="43" fontId="0" fillId="0" borderId="5" xfId="15" applyNumberFormat="1" applyFont="1" applyFill="1" applyBorder="1" applyAlignment="1">
      <alignment horizontal="right" vertical="center" wrapText="1"/>
    </xf>
    <xf numFmtId="10" fontId="0" fillId="0" borderId="31" xfId="21" applyNumberFormat="1" applyFont="1" applyFill="1" applyBorder="1" applyAlignment="1">
      <alignment horizontal="right" vertical="center" wrapText="1"/>
    </xf>
    <xf numFmtId="43" fontId="0" fillId="0" borderId="25" xfId="15" applyNumberFormat="1" applyFont="1" applyBorder="1" applyAlignment="1">
      <alignment horizontal="right" vertical="center" wrapText="1"/>
    </xf>
    <xf numFmtId="49" fontId="0" fillId="0" borderId="26" xfId="19" applyNumberFormat="1" applyFont="1" applyFill="1" applyBorder="1" applyAlignment="1">
      <alignment horizontal="center" vertical="center" wrapText="1"/>
      <protection/>
    </xf>
    <xf numFmtId="43" fontId="0" fillId="0" borderId="4" xfId="15" applyNumberFormat="1" applyFont="1" applyFill="1" applyBorder="1" applyAlignment="1">
      <alignment horizontal="right" vertical="center" wrapText="1"/>
    </xf>
    <xf numFmtId="0" fontId="0" fillId="2" borderId="24" xfId="19" applyFont="1" applyFill="1" applyBorder="1" applyAlignment="1">
      <alignment horizontal="left" vertical="center" wrapText="1"/>
      <protection/>
    </xf>
    <xf numFmtId="49" fontId="0" fillId="0" borderId="32" xfId="19" applyNumberFormat="1" applyFont="1" applyBorder="1" applyAlignment="1">
      <alignment horizontal="center" vertical="center" wrapText="1"/>
      <protection/>
    </xf>
    <xf numFmtId="167" fontId="0" fillId="0" borderId="8" xfId="15" applyNumberFormat="1" applyFont="1" applyBorder="1" applyAlignment="1">
      <alignment horizontal="right" vertical="center" wrapText="1"/>
    </xf>
    <xf numFmtId="43" fontId="0" fillId="0" borderId="7" xfId="15" applyNumberFormat="1" applyFont="1" applyBorder="1" applyAlignment="1">
      <alignment horizontal="right" vertical="center" wrapText="1"/>
    </xf>
    <xf numFmtId="43" fontId="10" fillId="0" borderId="20" xfId="15" applyNumberFormat="1" applyFont="1" applyFill="1" applyBorder="1" applyAlignment="1">
      <alignment horizontal="right" vertical="center" wrapText="1"/>
    </xf>
    <xf numFmtId="0" fontId="10" fillId="0" borderId="33" xfId="19" applyFont="1" applyBorder="1" applyAlignment="1">
      <alignment horizontal="center" vertical="center" wrapText="1"/>
      <protection/>
    </xf>
    <xf numFmtId="49" fontId="0" fillId="0" borderId="34" xfId="19" applyNumberFormat="1" applyFont="1" applyBorder="1" applyAlignment="1">
      <alignment horizontal="center" vertical="center" wrapText="1"/>
      <protection/>
    </xf>
    <xf numFmtId="0" fontId="0" fillId="0" borderId="35" xfId="19" applyFont="1" applyBorder="1" applyAlignment="1">
      <alignment horizontal="left" vertical="center" wrapText="1"/>
      <protection/>
    </xf>
    <xf numFmtId="167" fontId="0" fillId="0" borderId="36" xfId="15" applyNumberFormat="1" applyFont="1" applyBorder="1" applyAlignment="1">
      <alignment horizontal="right" vertical="center" wrapText="1"/>
    </xf>
    <xf numFmtId="43" fontId="0" fillId="0" borderId="35" xfId="15" applyNumberFormat="1" applyFont="1" applyBorder="1" applyAlignment="1">
      <alignment horizontal="right" vertical="center" wrapText="1"/>
    </xf>
    <xf numFmtId="10" fontId="0" fillId="0" borderId="37" xfId="21" applyNumberFormat="1" applyFont="1" applyFill="1" applyBorder="1" applyAlignment="1">
      <alignment horizontal="right" vertical="center" wrapText="1"/>
    </xf>
    <xf numFmtId="49" fontId="0" fillId="0" borderId="38" xfId="19" applyNumberFormat="1" applyFont="1" applyBorder="1" applyAlignment="1">
      <alignment horizontal="center" vertical="center" wrapText="1"/>
      <protection/>
    </xf>
    <xf numFmtId="0" fontId="0" fillId="0" borderId="16" xfId="19" applyFont="1" applyBorder="1" applyAlignment="1">
      <alignment horizontal="left" vertical="center" wrapText="1"/>
      <protection/>
    </xf>
    <xf numFmtId="167" fontId="0" fillId="0" borderId="17" xfId="15" applyNumberFormat="1" applyFont="1" applyBorder="1" applyAlignment="1">
      <alignment horizontal="right" vertical="center" wrapText="1"/>
    </xf>
    <xf numFmtId="43" fontId="0" fillId="0" borderId="16" xfId="15" applyNumberFormat="1" applyFont="1" applyBorder="1" applyAlignment="1">
      <alignment horizontal="right" vertical="center" wrapText="1"/>
    </xf>
    <xf numFmtId="0" fontId="10" fillId="2" borderId="28" xfId="19" applyFont="1" applyFill="1" applyBorder="1" applyAlignment="1">
      <alignment horizontal="center" vertical="center" wrapText="1"/>
      <protection/>
    </xf>
    <xf numFmtId="0" fontId="10" fillId="2" borderId="9" xfId="19" applyFont="1" applyFill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left" vertical="center" wrapText="1"/>
      <protection/>
    </xf>
    <xf numFmtId="0" fontId="0" fillId="2" borderId="0" xfId="19" applyFont="1" applyFill="1">
      <alignment/>
      <protection/>
    </xf>
    <xf numFmtId="49" fontId="0" fillId="0" borderId="20" xfId="19" applyNumberFormat="1" applyFont="1" applyFill="1" applyBorder="1" applyAlignment="1">
      <alignment horizontal="center" vertical="center" wrapText="1"/>
      <protection/>
    </xf>
    <xf numFmtId="0" fontId="0" fillId="0" borderId="0" xfId="19" applyFont="1" applyFill="1">
      <alignment/>
      <protection/>
    </xf>
    <xf numFmtId="0" fontId="10" fillId="0" borderId="9" xfId="19" applyFont="1" applyBorder="1" applyAlignment="1">
      <alignment vertical="center" wrapText="1"/>
      <protection/>
    </xf>
    <xf numFmtId="0" fontId="10" fillId="0" borderId="33" xfId="19" applyFont="1" applyBorder="1" applyAlignment="1">
      <alignment vertical="center" wrapText="1"/>
      <protection/>
    </xf>
    <xf numFmtId="0" fontId="10" fillId="0" borderId="39" xfId="19" applyFont="1" applyBorder="1" applyAlignment="1">
      <alignment vertical="center" wrapText="1"/>
      <protection/>
    </xf>
    <xf numFmtId="49" fontId="0" fillId="0" borderId="40" xfId="19" applyNumberFormat="1" applyFont="1" applyBorder="1" applyAlignment="1">
      <alignment horizontal="center" vertical="center" wrapText="1"/>
      <protection/>
    </xf>
    <xf numFmtId="0" fontId="0" fillId="0" borderId="23" xfId="19" applyFont="1" applyBorder="1" applyAlignment="1">
      <alignment horizontal="left" vertical="center" wrapText="1"/>
      <protection/>
    </xf>
    <xf numFmtId="167" fontId="0" fillId="0" borderId="18" xfId="15" applyNumberFormat="1" applyFont="1" applyBorder="1" applyAlignment="1">
      <alignment horizontal="right" vertical="center" wrapText="1"/>
    </xf>
    <xf numFmtId="43" fontId="0" fillId="0" borderId="23" xfId="15" applyNumberFormat="1" applyFont="1" applyBorder="1" applyAlignment="1">
      <alignment horizontal="right" vertical="center" wrapText="1"/>
    </xf>
    <xf numFmtId="10" fontId="0" fillId="0" borderId="41" xfId="21" applyNumberFormat="1" applyFont="1" applyFill="1" applyBorder="1" applyAlignment="1">
      <alignment horizontal="right" vertical="center" wrapText="1"/>
    </xf>
    <xf numFmtId="0" fontId="10" fillId="0" borderId="28" xfId="19" applyFont="1" applyBorder="1" applyAlignment="1">
      <alignment vertical="center" wrapText="1"/>
      <protection/>
    </xf>
    <xf numFmtId="49" fontId="0" fillId="2" borderId="24" xfId="19" applyNumberFormat="1" applyFont="1" applyFill="1" applyBorder="1" applyAlignment="1">
      <alignment horizontal="center" vertical="center" wrapText="1"/>
      <protection/>
    </xf>
    <xf numFmtId="167" fontId="0" fillId="2" borderId="25" xfId="15" applyNumberFormat="1" applyFont="1" applyFill="1" applyBorder="1" applyAlignment="1">
      <alignment horizontal="right" vertical="center" wrapText="1"/>
    </xf>
    <xf numFmtId="43" fontId="0" fillId="2" borderId="24" xfId="15" applyNumberFormat="1" applyFont="1" applyFill="1" applyBorder="1" applyAlignment="1">
      <alignment horizontal="right" vertical="center" wrapText="1"/>
    </xf>
    <xf numFmtId="49" fontId="0" fillId="2" borderId="29" xfId="19" applyNumberFormat="1" applyFont="1" applyFill="1" applyBorder="1" applyAlignment="1">
      <alignment horizontal="center" vertical="center" wrapText="1"/>
      <protection/>
    </xf>
    <xf numFmtId="0" fontId="0" fillId="2" borderId="26" xfId="19" applyFont="1" applyFill="1" applyBorder="1" applyAlignment="1">
      <alignment horizontal="left" vertical="center" wrapText="1"/>
      <protection/>
    </xf>
    <xf numFmtId="167" fontId="0" fillId="2" borderId="4" xfId="15" applyNumberFormat="1" applyFont="1" applyFill="1" applyBorder="1" applyAlignment="1">
      <alignment horizontal="right" vertical="center" wrapText="1"/>
    </xf>
    <xf numFmtId="43" fontId="0" fillId="2" borderId="26" xfId="15" applyNumberFormat="1" applyFont="1" applyFill="1" applyBorder="1" applyAlignment="1">
      <alignment horizontal="right" vertical="center" wrapText="1"/>
    </xf>
    <xf numFmtId="0" fontId="0" fillId="0" borderId="28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left" wrapText="1"/>
      <protection/>
    </xf>
    <xf numFmtId="167" fontId="1" fillId="0" borderId="21" xfId="15" applyNumberFormat="1" applyFont="1" applyBorder="1" applyAlignment="1">
      <alignment horizontal="right" vertical="center" wrapText="1"/>
    </xf>
    <xf numFmtId="43" fontId="1" fillId="0" borderId="21" xfId="15" applyNumberFormat="1" applyFont="1" applyBorder="1" applyAlignment="1">
      <alignment horizontal="right" vertical="center" wrapText="1"/>
    </xf>
    <xf numFmtId="0" fontId="6" fillId="0" borderId="28" xfId="19" applyFont="1" applyBorder="1">
      <alignment/>
      <protection/>
    </xf>
    <xf numFmtId="0" fontId="6" fillId="0" borderId="5" xfId="19" applyFont="1" applyBorder="1">
      <alignment/>
      <protection/>
    </xf>
    <xf numFmtId="0" fontId="7" fillId="0" borderId="42" xfId="19" applyFont="1" applyBorder="1">
      <alignment/>
      <protection/>
    </xf>
    <xf numFmtId="3" fontId="7" fillId="0" borderId="11" xfId="19" applyNumberFormat="1" applyFont="1" applyBorder="1">
      <alignment/>
      <protection/>
    </xf>
    <xf numFmtId="4" fontId="7" fillId="0" borderId="11" xfId="19" applyNumberFormat="1" applyFont="1" applyBorder="1">
      <alignment/>
      <protection/>
    </xf>
    <xf numFmtId="10" fontId="1" fillId="0" borderId="43" xfId="21" applyNumberFormat="1" applyFont="1" applyBorder="1" applyAlignment="1">
      <alignment/>
    </xf>
    <xf numFmtId="3" fontId="19" fillId="0" borderId="5" xfId="19" applyNumberFormat="1" applyFont="1" applyBorder="1">
      <alignment/>
      <protection/>
    </xf>
    <xf numFmtId="3" fontId="19" fillId="0" borderId="44" xfId="19" applyNumberFormat="1" applyFont="1" applyBorder="1">
      <alignment/>
      <protection/>
    </xf>
    <xf numFmtId="3" fontId="19" fillId="0" borderId="45" xfId="19" applyNumberFormat="1" applyFont="1" applyBorder="1">
      <alignment/>
      <protection/>
    </xf>
    <xf numFmtId="0" fontId="1" fillId="0" borderId="46" xfId="19" applyFont="1" applyBorder="1">
      <alignment/>
      <protection/>
    </xf>
    <xf numFmtId="3" fontId="1" fillId="0" borderId="24" xfId="19" applyNumberFormat="1" applyFont="1" applyBorder="1">
      <alignment/>
      <protection/>
    </xf>
    <xf numFmtId="4" fontId="1" fillId="0" borderId="24" xfId="19" applyNumberFormat="1" applyFont="1" applyBorder="1">
      <alignment/>
      <protection/>
    </xf>
    <xf numFmtId="10" fontId="1" fillId="0" borderId="31" xfId="21" applyNumberFormat="1" applyFont="1" applyBorder="1" applyAlignment="1">
      <alignment/>
    </xf>
    <xf numFmtId="0" fontId="4" fillId="0" borderId="28" xfId="19" applyFont="1" applyBorder="1">
      <alignment/>
      <protection/>
    </xf>
    <xf numFmtId="3" fontId="4" fillId="0" borderId="7" xfId="19" applyNumberFormat="1" applyFont="1" applyBorder="1">
      <alignment/>
      <protection/>
    </xf>
    <xf numFmtId="4" fontId="4" fillId="0" borderId="7" xfId="19" applyNumberFormat="1" applyFont="1" applyBorder="1">
      <alignment/>
      <protection/>
    </xf>
    <xf numFmtId="3" fontId="4" fillId="0" borderId="10" xfId="19" applyNumberFormat="1" applyFont="1" applyBorder="1">
      <alignment/>
      <protection/>
    </xf>
    <xf numFmtId="4" fontId="4" fillId="0" borderId="10" xfId="19" applyNumberFormat="1" applyFont="1" applyBorder="1">
      <alignment/>
      <protection/>
    </xf>
    <xf numFmtId="3" fontId="4" fillId="0" borderId="26" xfId="19" applyNumberFormat="1" applyFont="1" applyBorder="1">
      <alignment/>
      <protection/>
    </xf>
    <xf numFmtId="4" fontId="4" fillId="0" borderId="26" xfId="19" applyNumberFormat="1" applyFont="1" applyBorder="1">
      <alignment/>
      <protection/>
    </xf>
    <xf numFmtId="3" fontId="4" fillId="0" borderId="3" xfId="19" applyNumberFormat="1" applyFont="1" applyBorder="1">
      <alignment/>
      <protection/>
    </xf>
    <xf numFmtId="0" fontId="4" fillId="0" borderId="9" xfId="19" applyFont="1" applyBorder="1">
      <alignment/>
      <protection/>
    </xf>
    <xf numFmtId="3" fontId="4" fillId="0" borderId="10" xfId="19" applyNumberFormat="1" applyFont="1" applyFill="1" applyBorder="1">
      <alignment/>
      <protection/>
    </xf>
    <xf numFmtId="4" fontId="4" fillId="0" borderId="10" xfId="19" applyNumberFormat="1" applyFont="1" applyFill="1" applyBorder="1">
      <alignment/>
      <protection/>
    </xf>
    <xf numFmtId="0" fontId="0" fillId="4" borderId="0" xfId="19" applyFont="1" applyFill="1">
      <alignment/>
      <protection/>
    </xf>
    <xf numFmtId="3" fontId="4" fillId="0" borderId="2" xfId="19" applyNumberFormat="1" applyFont="1" applyBorder="1">
      <alignment/>
      <protection/>
    </xf>
    <xf numFmtId="10" fontId="4" fillId="0" borderId="47" xfId="21" applyNumberFormat="1" applyFont="1" applyBorder="1" applyAlignment="1">
      <alignment/>
    </xf>
    <xf numFmtId="0" fontId="18" fillId="0" borderId="28" xfId="19" applyFont="1" applyBorder="1">
      <alignment/>
      <protection/>
    </xf>
    <xf numFmtId="3" fontId="18" fillId="0" borderId="26" xfId="19" applyNumberFormat="1" applyFont="1" applyBorder="1">
      <alignment/>
      <protection/>
    </xf>
    <xf numFmtId="4" fontId="18" fillId="0" borderId="26" xfId="19" applyNumberFormat="1" applyFont="1" applyBorder="1">
      <alignment/>
      <protection/>
    </xf>
    <xf numFmtId="3" fontId="18" fillId="0" borderId="47" xfId="19" applyNumberFormat="1" applyFont="1" applyBorder="1">
      <alignment/>
      <protection/>
    </xf>
    <xf numFmtId="0" fontId="17" fillId="0" borderId="0" xfId="19" applyFont="1">
      <alignment/>
      <protection/>
    </xf>
    <xf numFmtId="3" fontId="1" fillId="0" borderId="25" xfId="19" applyNumberFormat="1" applyFont="1" applyBorder="1">
      <alignment/>
      <protection/>
    </xf>
    <xf numFmtId="0" fontId="4" fillId="0" borderId="48" xfId="19" applyFont="1" applyBorder="1">
      <alignment/>
      <protection/>
    </xf>
    <xf numFmtId="3" fontId="18" fillId="0" borderId="10" xfId="19" applyNumberFormat="1" applyFont="1" applyBorder="1">
      <alignment/>
      <protection/>
    </xf>
    <xf numFmtId="4" fontId="18" fillId="0" borderId="10" xfId="19" applyNumberFormat="1" applyFont="1" applyBorder="1">
      <alignment/>
      <protection/>
    </xf>
    <xf numFmtId="4" fontId="1" fillId="0" borderId="49" xfId="19" applyNumberFormat="1" applyFont="1" applyBorder="1">
      <alignment/>
      <protection/>
    </xf>
    <xf numFmtId="4" fontId="4" fillId="0" borderId="32" xfId="19" applyNumberFormat="1" applyFont="1" applyBorder="1">
      <alignment/>
      <protection/>
    </xf>
    <xf numFmtId="4" fontId="4" fillId="0" borderId="27" xfId="19" applyNumberFormat="1" applyFont="1" applyBorder="1">
      <alignment/>
      <protection/>
    </xf>
    <xf numFmtId="4" fontId="18" fillId="0" borderId="27" xfId="19" applyNumberFormat="1" applyFont="1" applyBorder="1">
      <alignment/>
      <protection/>
    </xf>
    <xf numFmtId="0" fontId="1" fillId="0" borderId="50" xfId="19" applyFont="1" applyBorder="1">
      <alignment/>
      <protection/>
    </xf>
    <xf numFmtId="3" fontId="1" fillId="0" borderId="35" xfId="19" applyNumberFormat="1" applyFont="1" applyBorder="1">
      <alignment/>
      <protection/>
    </xf>
    <xf numFmtId="4" fontId="1" fillId="0" borderId="34" xfId="19" applyNumberFormat="1" applyFont="1" applyBorder="1">
      <alignment/>
      <protection/>
    </xf>
    <xf numFmtId="10" fontId="1" fillId="0" borderId="51" xfId="21" applyNumberFormat="1" applyFont="1" applyBorder="1" applyAlignment="1">
      <alignment/>
    </xf>
    <xf numFmtId="0" fontId="5" fillId="0" borderId="0" xfId="19" applyFont="1">
      <alignment/>
      <protection/>
    </xf>
    <xf numFmtId="0" fontId="7" fillId="0" borderId="0" xfId="19" applyFont="1" applyBorder="1" applyAlignment="1">
      <alignment horizontal="centerContinuous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Continuous"/>
      <protection/>
    </xf>
    <xf numFmtId="0" fontId="6" fillId="0" borderId="0" xfId="19" applyFont="1" applyBorder="1" applyAlignment="1">
      <alignment horizontal="centerContinuous"/>
      <protection/>
    </xf>
    <xf numFmtId="0" fontId="4" fillId="0" borderId="28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27" xfId="19" applyFont="1" applyBorder="1" applyAlignment="1">
      <alignment horizontal="centerContinuous"/>
      <protection/>
    </xf>
    <xf numFmtId="3" fontId="4" fillId="0" borderId="10" xfId="19" applyNumberFormat="1" applyFont="1" applyBorder="1" applyAlignment="1">
      <alignment horizontal="centerContinuous"/>
      <protection/>
    </xf>
    <xf numFmtId="4" fontId="4" fillId="0" borderId="5" xfId="19" applyNumberFormat="1" applyFont="1" applyBorder="1" applyAlignment="1">
      <alignment horizontal="centerContinuous"/>
      <protection/>
    </xf>
    <xf numFmtId="10" fontId="4" fillId="0" borderId="3" xfId="21" applyNumberFormat="1" applyFont="1" applyBorder="1" applyAlignment="1">
      <alignment/>
    </xf>
    <xf numFmtId="49" fontId="4" fillId="0" borderId="52" xfId="19" applyNumberFormat="1" applyFont="1" applyBorder="1" applyAlignment="1">
      <alignment horizontal="center"/>
      <protection/>
    </xf>
    <xf numFmtId="0" fontId="4" fillId="0" borderId="29" xfId="19" applyFont="1" applyBorder="1" applyAlignment="1">
      <alignment horizontal="centerContinuous"/>
      <protection/>
    </xf>
    <xf numFmtId="3" fontId="4" fillId="0" borderId="26" xfId="19" applyNumberFormat="1" applyFont="1" applyBorder="1" applyAlignment="1">
      <alignment horizontal="right"/>
      <protection/>
    </xf>
    <xf numFmtId="4" fontId="4" fillId="0" borderId="26" xfId="19" applyNumberFormat="1" applyFont="1" applyBorder="1" applyAlignment="1">
      <alignment horizontal="right"/>
      <protection/>
    </xf>
    <xf numFmtId="10" fontId="4" fillId="0" borderId="2" xfId="21" applyNumberFormat="1" applyFont="1" applyBorder="1" applyAlignment="1">
      <alignment/>
    </xf>
    <xf numFmtId="3" fontId="6" fillId="0" borderId="0" xfId="19" applyNumberFormat="1" applyFont="1" applyBorder="1" applyAlignment="1">
      <alignment horizontal="right"/>
      <protection/>
    </xf>
    <xf numFmtId="0" fontId="4" fillId="0" borderId="10" xfId="19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Continuous"/>
      <protection/>
    </xf>
    <xf numFmtId="0" fontId="4" fillId="0" borderId="5" xfId="19" applyFont="1" applyBorder="1" applyAlignment="1">
      <alignment/>
      <protection/>
    </xf>
    <xf numFmtId="0" fontId="4" fillId="0" borderId="27" xfId="19" applyFont="1" applyBorder="1" applyAlignment="1">
      <alignment/>
      <protection/>
    </xf>
    <xf numFmtId="0" fontId="4" fillId="0" borderId="10" xfId="19" applyFont="1" applyBorder="1" applyAlignment="1">
      <alignment/>
      <protection/>
    </xf>
    <xf numFmtId="0" fontId="4" fillId="0" borderId="1" xfId="19" applyFont="1" applyBorder="1" applyAlignment="1">
      <alignment/>
      <protection/>
    </xf>
    <xf numFmtId="0" fontId="6" fillId="0" borderId="0" xfId="19" applyFont="1" applyBorder="1" applyAlignment="1">
      <alignment/>
      <protection/>
    </xf>
    <xf numFmtId="0" fontId="4" fillId="0" borderId="52" xfId="19" applyFont="1" applyBorder="1" applyAlignment="1">
      <alignment horizontal="center"/>
      <protection/>
    </xf>
    <xf numFmtId="0" fontId="4" fillId="0" borderId="4" xfId="19" applyFont="1" applyBorder="1" applyAlignment="1">
      <alignment/>
      <protection/>
    </xf>
    <xf numFmtId="0" fontId="4" fillId="0" borderId="29" xfId="19" applyFont="1" applyBorder="1" applyAlignment="1">
      <alignment/>
      <protection/>
    </xf>
    <xf numFmtId="3" fontId="4" fillId="0" borderId="26" xfId="19" applyNumberFormat="1" applyFont="1" applyBorder="1" applyAlignment="1">
      <alignment/>
      <protection/>
    </xf>
    <xf numFmtId="4" fontId="4" fillId="0" borderId="26" xfId="19" applyNumberFormat="1" applyFont="1" applyBorder="1" applyAlignment="1">
      <alignment/>
      <protection/>
    </xf>
    <xf numFmtId="10" fontId="4" fillId="0" borderId="47" xfId="21" applyNumberFormat="1" applyFont="1" applyBorder="1" applyAlignment="1">
      <alignment/>
    </xf>
    <xf numFmtId="3" fontId="6" fillId="0" borderId="0" xfId="19" applyNumberFormat="1" applyFont="1" applyBorder="1" applyAlignment="1">
      <alignment/>
      <protection/>
    </xf>
    <xf numFmtId="0" fontId="4" fillId="0" borderId="5" xfId="19" applyFont="1" applyBorder="1" applyAlignment="1">
      <alignment horizontal="left"/>
      <protection/>
    </xf>
    <xf numFmtId="3" fontId="4" fillId="0" borderId="10" xfId="19" applyNumberFormat="1" applyFont="1" applyBorder="1" applyAlignment="1">
      <alignment horizontal="right"/>
      <protection/>
    </xf>
    <xf numFmtId="4" fontId="4" fillId="0" borderId="5" xfId="19" applyNumberFormat="1" applyFont="1" applyBorder="1" applyAlignment="1">
      <alignment horizontal="right"/>
      <protection/>
    </xf>
    <xf numFmtId="10" fontId="4" fillId="0" borderId="1" xfId="21" applyNumberFormat="1" applyFont="1" applyBorder="1" applyAlignment="1">
      <alignment/>
    </xf>
    <xf numFmtId="0" fontId="4" fillId="0" borderId="53" xfId="19" applyFont="1" applyBorder="1" applyAlignment="1">
      <alignment horizontal="center"/>
      <protection/>
    </xf>
    <xf numFmtId="0" fontId="4" fillId="0" borderId="4" xfId="19" applyFont="1" applyBorder="1">
      <alignment/>
      <protection/>
    </xf>
    <xf numFmtId="0" fontId="4" fillId="0" borderId="29" xfId="19" applyFont="1" applyBorder="1">
      <alignment/>
      <protection/>
    </xf>
    <xf numFmtId="3" fontId="6" fillId="0" borderId="0" xfId="19" applyNumberFormat="1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32" xfId="19" applyFont="1" applyBorder="1">
      <alignment/>
      <protection/>
    </xf>
    <xf numFmtId="4" fontId="4" fillId="0" borderId="8" xfId="19" applyNumberFormat="1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27" xfId="19" applyFont="1" applyBorder="1">
      <alignment/>
      <protection/>
    </xf>
    <xf numFmtId="4" fontId="4" fillId="0" borderId="5" xfId="19" applyNumberFormat="1" applyFont="1" applyBorder="1">
      <alignment/>
      <protection/>
    </xf>
    <xf numFmtId="0" fontId="6" fillId="0" borderId="0" xfId="19" applyFont="1" applyBorder="1">
      <alignment/>
      <protection/>
    </xf>
    <xf numFmtId="0" fontId="4" fillId="0" borderId="52" xfId="19" applyFont="1" applyBorder="1">
      <alignment/>
      <protection/>
    </xf>
    <xf numFmtId="3" fontId="0" fillId="0" borderId="10" xfId="19" applyNumberFormat="1" applyFont="1" applyBorder="1">
      <alignment/>
      <protection/>
    </xf>
    <xf numFmtId="4" fontId="0" fillId="0" borderId="5" xfId="19" applyNumberFormat="1" applyFont="1" applyBorder="1">
      <alignment/>
      <protection/>
    </xf>
    <xf numFmtId="0" fontId="4" fillId="0" borderId="54" xfId="19" applyFont="1" applyBorder="1">
      <alignment/>
      <protection/>
    </xf>
    <xf numFmtId="0" fontId="4" fillId="0" borderId="6" xfId="19" applyFont="1" applyBorder="1" applyAlignment="1">
      <alignment horizontal="center"/>
      <protection/>
    </xf>
    <xf numFmtId="0" fontId="4" fillId="0" borderId="9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7" fillId="0" borderId="0" xfId="19" applyFont="1" applyBorder="1">
      <alignment/>
      <protection/>
    </xf>
    <xf numFmtId="0" fontId="18" fillId="0" borderId="9" xfId="19" applyFont="1" applyBorder="1" applyAlignment="1">
      <alignment horizontal="center"/>
      <protection/>
    </xf>
    <xf numFmtId="0" fontId="18" fillId="0" borderId="0" xfId="19" applyFont="1" applyBorder="1">
      <alignment/>
      <protection/>
    </xf>
    <xf numFmtId="0" fontId="18" fillId="0" borderId="27" xfId="19" applyFont="1" applyBorder="1">
      <alignment/>
      <protection/>
    </xf>
    <xf numFmtId="4" fontId="18" fillId="0" borderId="5" xfId="19" applyNumberFormat="1" applyFont="1" applyBorder="1">
      <alignment/>
      <protection/>
    </xf>
    <xf numFmtId="9" fontId="18" fillId="0" borderId="3" xfId="21" applyFont="1" applyBorder="1" applyAlignment="1">
      <alignment/>
    </xf>
    <xf numFmtId="3" fontId="19" fillId="0" borderId="0" xfId="19" applyNumberFormat="1" applyFont="1" applyBorder="1">
      <alignment/>
      <protection/>
    </xf>
    <xf numFmtId="0" fontId="0" fillId="0" borderId="0" xfId="19" applyFont="1" applyFill="1">
      <alignment/>
      <protection/>
    </xf>
    <xf numFmtId="0" fontId="4" fillId="0" borderId="28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27" xfId="19" applyFont="1" applyFill="1" applyBorder="1">
      <alignment/>
      <protection/>
    </xf>
    <xf numFmtId="10" fontId="4" fillId="0" borderId="1" xfId="21" applyNumberFormat="1" applyFont="1" applyFill="1" applyBorder="1" applyAlignment="1">
      <alignment/>
    </xf>
    <xf numFmtId="3" fontId="6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4" fillId="0" borderId="12" xfId="19" applyFont="1" applyBorder="1">
      <alignment/>
      <protection/>
    </xf>
    <xf numFmtId="0" fontId="4" fillId="0" borderId="55" xfId="19" applyFont="1" applyBorder="1">
      <alignment/>
      <protection/>
    </xf>
    <xf numFmtId="3" fontId="4" fillId="0" borderId="13" xfId="19" applyNumberFormat="1" applyFont="1" applyBorder="1">
      <alignment/>
      <protection/>
    </xf>
    <xf numFmtId="4" fontId="4" fillId="0" borderId="56" xfId="19" applyNumberFormat="1" applyFont="1" applyBorder="1">
      <alignment/>
      <protection/>
    </xf>
    <xf numFmtId="10" fontId="4" fillId="0" borderId="57" xfId="21" applyNumberFormat="1" applyFont="1" applyBorder="1" applyAlignment="1">
      <alignment/>
    </xf>
    <xf numFmtId="0" fontId="4" fillId="0" borderId="15" xfId="19" applyFont="1" applyBorder="1">
      <alignment/>
      <protection/>
    </xf>
    <xf numFmtId="0" fontId="7" fillId="0" borderId="38" xfId="19" applyFont="1" applyBorder="1">
      <alignment/>
      <protection/>
    </xf>
    <xf numFmtId="3" fontId="7" fillId="0" borderId="16" xfId="19" applyNumberFormat="1" applyFont="1" applyBorder="1">
      <alignment/>
      <protection/>
    </xf>
    <xf numFmtId="4" fontId="7" fillId="0" borderId="58" xfId="19" applyNumberFormat="1" applyFont="1" applyBorder="1">
      <alignment/>
      <protection/>
    </xf>
    <xf numFmtId="10" fontId="7" fillId="0" borderId="37" xfId="21" applyNumberFormat="1" applyFont="1" applyBorder="1" applyAlignment="1">
      <alignment/>
    </xf>
    <xf numFmtId="3" fontId="22" fillId="0" borderId="0" xfId="19" applyNumberFormat="1" applyFont="1" applyBorder="1">
      <alignment/>
      <protection/>
    </xf>
    <xf numFmtId="4" fontId="22" fillId="0" borderId="0" xfId="19" applyNumberFormat="1" applyFont="1" applyBorder="1">
      <alignment/>
      <protection/>
    </xf>
    <xf numFmtId="3" fontId="0" fillId="0" borderId="0" xfId="19" applyNumberFormat="1" applyFont="1" applyBorder="1">
      <alignment/>
      <protection/>
    </xf>
    <xf numFmtId="0" fontId="9" fillId="0" borderId="0" xfId="19" applyFont="1" applyAlignment="1">
      <alignment/>
      <protection/>
    </xf>
    <xf numFmtId="0" fontId="9" fillId="0" borderId="0" xfId="19" applyFont="1" applyBorder="1" applyAlignment="1">
      <alignment/>
      <protection/>
    </xf>
    <xf numFmtId="0" fontId="5" fillId="0" borderId="0" xfId="19" applyFont="1" applyBorder="1">
      <alignment/>
      <protection/>
    </xf>
    <xf numFmtId="0" fontId="7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12" fillId="0" borderId="0" xfId="19" applyFont="1" applyAlignment="1">
      <alignment horizontal="right"/>
      <protection/>
    </xf>
    <xf numFmtId="0" fontId="7" fillId="0" borderId="0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Continuous"/>
      <protection/>
    </xf>
    <xf numFmtId="0" fontId="8" fillId="0" borderId="0" xfId="19" applyFont="1" applyBorder="1">
      <alignment/>
      <protection/>
    </xf>
    <xf numFmtId="0" fontId="8" fillId="0" borderId="0" xfId="19" applyFont="1">
      <alignment/>
      <protection/>
    </xf>
    <xf numFmtId="0" fontId="0" fillId="0" borderId="28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Continuous"/>
      <protection/>
    </xf>
    <xf numFmtId="0" fontId="0" fillId="0" borderId="27" xfId="19" applyFont="1" applyBorder="1" applyAlignment="1">
      <alignment horizontal="centerContinuous"/>
      <protection/>
    </xf>
    <xf numFmtId="0" fontId="0" fillId="0" borderId="0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3" fontId="4" fillId="0" borderId="54" xfId="19" applyNumberFormat="1" applyFont="1" applyBorder="1" applyAlignment="1">
      <alignment/>
      <protection/>
    </xf>
    <xf numFmtId="4" fontId="4" fillId="0" borderId="4" xfId="19" applyNumberFormat="1" applyFont="1" applyBorder="1" applyAlignment="1">
      <alignment/>
      <protection/>
    </xf>
    <xf numFmtId="0" fontId="4" fillId="0" borderId="28" xfId="19" applyFont="1" applyBorder="1" applyAlignment="1">
      <alignment/>
      <protection/>
    </xf>
    <xf numFmtId="3" fontId="4" fillId="0" borderId="0" xfId="19" applyNumberFormat="1" applyFont="1" applyBorder="1" applyAlignment="1">
      <alignment/>
      <protection/>
    </xf>
    <xf numFmtId="4" fontId="4" fillId="0" borderId="5" xfId="19" applyNumberFormat="1" applyFont="1" applyBorder="1" applyAlignment="1">
      <alignment/>
      <protection/>
    </xf>
    <xf numFmtId="10" fontId="4" fillId="0" borderId="1" xfId="19" applyNumberFormat="1" applyFont="1" applyBorder="1" applyAlignment="1">
      <alignment/>
      <protection/>
    </xf>
    <xf numFmtId="0" fontId="4" fillId="0" borderId="0" xfId="19" applyFont="1">
      <alignment/>
      <protection/>
    </xf>
    <xf numFmtId="0" fontId="4" fillId="0" borderId="42" xfId="19" applyFont="1" applyBorder="1" applyAlignment="1">
      <alignment horizontal="centerContinuous"/>
      <protection/>
    </xf>
    <xf numFmtId="0" fontId="4" fillId="0" borderId="11" xfId="19" applyFont="1" applyBorder="1" applyAlignment="1">
      <alignment horizontal="center"/>
      <protection/>
    </xf>
    <xf numFmtId="0" fontId="4" fillId="0" borderId="59" xfId="19" applyFont="1" applyBorder="1" applyAlignment="1">
      <alignment horizontal="centerContinuous"/>
      <protection/>
    </xf>
    <xf numFmtId="3" fontId="4" fillId="0" borderId="60" xfId="19" applyNumberFormat="1" applyFont="1" applyBorder="1" applyAlignment="1">
      <alignment horizontal="right"/>
      <protection/>
    </xf>
    <xf numFmtId="4" fontId="4" fillId="0" borderId="11" xfId="19" applyNumberFormat="1" applyFont="1" applyBorder="1" applyAlignment="1">
      <alignment horizontal="right"/>
      <protection/>
    </xf>
    <xf numFmtId="3" fontId="4" fillId="0" borderId="0" xfId="19" applyNumberFormat="1" applyFont="1" applyBorder="1" applyAlignment="1">
      <alignment horizontal="right"/>
      <protection/>
    </xf>
    <xf numFmtId="0" fontId="4" fillId="0" borderId="28" xfId="19" applyFont="1" applyBorder="1" applyAlignment="1">
      <alignment horizontal="centerContinuous"/>
      <protection/>
    </xf>
    <xf numFmtId="0" fontId="4" fillId="0" borderId="61" xfId="19" applyFont="1" applyBorder="1" applyAlignment="1">
      <alignment horizontal="center"/>
      <protection/>
    </xf>
    <xf numFmtId="0" fontId="4" fillId="0" borderId="61" xfId="19" applyFont="1" applyBorder="1" applyAlignment="1">
      <alignment horizontal="left"/>
      <protection/>
    </xf>
    <xf numFmtId="3" fontId="4" fillId="0" borderId="62" xfId="19" applyNumberFormat="1" applyFont="1" applyBorder="1" applyAlignment="1">
      <alignment horizontal="right"/>
      <protection/>
    </xf>
    <xf numFmtId="4" fontId="4" fillId="0" borderId="61" xfId="19" applyNumberFormat="1" applyFont="1" applyBorder="1" applyAlignment="1">
      <alignment horizontal="right"/>
      <protection/>
    </xf>
    <xf numFmtId="10" fontId="4" fillId="0" borderId="63" xfId="19" applyNumberFormat="1" applyFont="1" applyBorder="1" applyAlignment="1">
      <alignment horizontal="right"/>
      <protection/>
    </xf>
    <xf numFmtId="0" fontId="4" fillId="0" borderId="26" xfId="19" applyFont="1" applyBorder="1" applyAlignment="1">
      <alignment horizontal="center"/>
      <protection/>
    </xf>
    <xf numFmtId="3" fontId="4" fillId="0" borderId="54" xfId="19" applyNumberFormat="1" applyFont="1" applyBorder="1" applyAlignment="1">
      <alignment horizontal="right"/>
      <protection/>
    </xf>
    <xf numFmtId="4" fontId="4" fillId="0" borderId="4" xfId="19" applyNumberFormat="1" applyFont="1" applyBorder="1" applyAlignment="1">
      <alignment horizontal="right"/>
      <protection/>
    </xf>
    <xf numFmtId="0" fontId="4" fillId="0" borderId="7" xfId="19" applyFont="1" applyBorder="1" applyAlignment="1">
      <alignment horizontal="center"/>
      <protection/>
    </xf>
    <xf numFmtId="0" fontId="4" fillId="0" borderId="27" xfId="19" applyFont="1" applyBorder="1" applyAlignment="1">
      <alignment horizontal="left"/>
      <protection/>
    </xf>
    <xf numFmtId="10" fontId="4" fillId="0" borderId="1" xfId="19" applyNumberFormat="1" applyFont="1" applyBorder="1" applyAlignment="1">
      <alignment horizontal="right"/>
      <protection/>
    </xf>
    <xf numFmtId="0" fontId="4" fillId="0" borderId="64" xfId="19" applyFont="1" applyBorder="1" applyAlignment="1">
      <alignment/>
      <protection/>
    </xf>
    <xf numFmtId="10" fontId="4" fillId="0" borderId="43" xfId="21" applyNumberFormat="1" applyFont="1" applyBorder="1" applyAlignment="1">
      <alignment/>
    </xf>
    <xf numFmtId="0" fontId="4" fillId="0" borderId="65" xfId="19" applyFont="1" applyBorder="1" applyAlignment="1">
      <alignment horizontal="center"/>
      <protection/>
    </xf>
    <xf numFmtId="0" fontId="4" fillId="2" borderId="4" xfId="19" applyFont="1" applyFill="1" applyBorder="1" applyAlignment="1">
      <alignment horizontal="left"/>
      <protection/>
    </xf>
    <xf numFmtId="0" fontId="4" fillId="2" borderId="29" xfId="19" applyFont="1" applyFill="1" applyBorder="1" applyAlignment="1">
      <alignment horizontal="centerContinuous"/>
      <protection/>
    </xf>
    <xf numFmtId="0" fontId="4" fillId="0" borderId="10" xfId="19" applyFont="1" applyBorder="1" applyAlignment="1">
      <alignment horizontal="center"/>
      <protection/>
    </xf>
    <xf numFmtId="0" fontId="4" fillId="2" borderId="5" xfId="19" applyFont="1" applyFill="1" applyBorder="1" applyAlignment="1">
      <alignment horizontal="left"/>
      <protection/>
    </xf>
    <xf numFmtId="0" fontId="4" fillId="2" borderId="27" xfId="19" applyFont="1" applyFill="1" applyBorder="1" applyAlignment="1">
      <alignment horizontal="centerContinuous"/>
      <protection/>
    </xf>
    <xf numFmtId="0" fontId="4" fillId="2" borderId="26" xfId="19" applyFont="1" applyFill="1" applyBorder="1" applyAlignment="1">
      <alignment horizontal="center"/>
      <protection/>
    </xf>
    <xf numFmtId="0" fontId="4" fillId="2" borderId="66" xfId="19" applyFont="1" applyFill="1" applyBorder="1" applyAlignment="1">
      <alignment horizontal="center"/>
      <protection/>
    </xf>
    <xf numFmtId="0" fontId="4" fillId="2" borderId="11" xfId="19" applyFont="1" applyFill="1" applyBorder="1" applyAlignment="1">
      <alignment horizontal="left"/>
      <protection/>
    </xf>
    <xf numFmtId="0" fontId="4" fillId="2" borderId="59" xfId="19" applyFont="1" applyFill="1" applyBorder="1" applyAlignment="1">
      <alignment horizontal="centerContinuous"/>
      <protection/>
    </xf>
    <xf numFmtId="3" fontId="4" fillId="0" borderId="54" xfId="19" applyNumberFormat="1" applyFont="1" applyBorder="1">
      <alignment/>
      <protection/>
    </xf>
    <xf numFmtId="4" fontId="4" fillId="0" borderId="4" xfId="19" applyNumberFormat="1" applyFont="1" applyBorder="1">
      <alignment/>
      <protection/>
    </xf>
    <xf numFmtId="3" fontId="4" fillId="0" borderId="0" xfId="19" applyNumberFormat="1" applyFont="1" applyBorder="1">
      <alignment/>
      <protection/>
    </xf>
    <xf numFmtId="0" fontId="4" fillId="0" borderId="42" xfId="19" applyFont="1" applyBorder="1" applyAlignment="1">
      <alignment horizontal="center"/>
      <protection/>
    </xf>
    <xf numFmtId="0" fontId="4" fillId="0" borderId="11" xfId="19" applyFont="1" applyBorder="1">
      <alignment/>
      <protection/>
    </xf>
    <xf numFmtId="0" fontId="4" fillId="0" borderId="59" xfId="19" applyFont="1" applyBorder="1">
      <alignment/>
      <protection/>
    </xf>
    <xf numFmtId="3" fontId="4" fillId="0" borderId="60" xfId="19" applyNumberFormat="1" applyFont="1" applyBorder="1">
      <alignment/>
      <protection/>
    </xf>
    <xf numFmtId="4" fontId="4" fillId="0" borderId="11" xfId="19" applyNumberFormat="1" applyFont="1" applyBorder="1">
      <alignment/>
      <protection/>
    </xf>
    <xf numFmtId="0" fontId="4" fillId="0" borderId="7" xfId="19" applyFont="1" applyFill="1" applyBorder="1" applyAlignment="1">
      <alignment horizontal="center"/>
      <protection/>
    </xf>
    <xf numFmtId="0" fontId="4" fillId="0" borderId="5" xfId="19" applyFont="1" applyFill="1" applyBorder="1" applyAlignment="1">
      <alignment horizontal="left"/>
      <protection/>
    </xf>
    <xf numFmtId="0" fontId="4" fillId="0" borderId="27" xfId="19" applyFont="1" applyFill="1" applyBorder="1" applyAlignment="1">
      <alignment horizontal="left"/>
      <protection/>
    </xf>
    <xf numFmtId="3" fontId="4" fillId="0" borderId="0" xfId="19" applyNumberFormat="1" applyFont="1" applyFill="1" applyBorder="1">
      <alignment/>
      <protection/>
    </xf>
    <xf numFmtId="4" fontId="4" fillId="0" borderId="5" xfId="19" applyNumberFormat="1" applyFont="1" applyFill="1" applyBorder="1">
      <alignment/>
      <protection/>
    </xf>
    <xf numFmtId="10" fontId="4" fillId="0" borderId="3" xfId="21" applyNumberFormat="1" applyFont="1" applyFill="1" applyBorder="1" applyAlignment="1">
      <alignment/>
    </xf>
    <xf numFmtId="0" fontId="4" fillId="0" borderId="32" xfId="19" applyFont="1" applyBorder="1" applyAlignment="1">
      <alignment horizontal="center"/>
      <protection/>
    </xf>
    <xf numFmtId="9" fontId="4" fillId="0" borderId="1" xfId="21" applyFont="1" applyBorder="1" applyAlignment="1">
      <alignment/>
    </xf>
    <xf numFmtId="3" fontId="4" fillId="0" borderId="5" xfId="19" applyNumberFormat="1" applyFont="1" applyBorder="1">
      <alignment/>
      <protection/>
    </xf>
    <xf numFmtId="0" fontId="4" fillId="0" borderId="8" xfId="19" applyFont="1" applyBorder="1" applyAlignment="1">
      <alignment horizontal="center"/>
      <protection/>
    </xf>
    <xf numFmtId="0" fontId="4" fillId="0" borderId="27" xfId="19" applyFont="1" applyBorder="1" applyAlignment="1">
      <alignment horizontal="center"/>
      <protection/>
    </xf>
    <xf numFmtId="0" fontId="4" fillId="0" borderId="54" xfId="19" applyFont="1" applyBorder="1" applyAlignment="1">
      <alignment horizontal="center"/>
      <protection/>
    </xf>
    <xf numFmtId="3" fontId="4" fillId="0" borderId="67" xfId="19" applyNumberFormat="1" applyFont="1" applyBorder="1">
      <alignment/>
      <protection/>
    </xf>
    <xf numFmtId="0" fontId="4" fillId="0" borderId="33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0" fontId="4" fillId="0" borderId="17" xfId="19" applyFont="1" applyBorder="1">
      <alignment/>
      <protection/>
    </xf>
    <xf numFmtId="0" fontId="4" fillId="0" borderId="38" xfId="19" applyFont="1" applyBorder="1">
      <alignment/>
      <protection/>
    </xf>
    <xf numFmtId="3" fontId="4" fillId="0" borderId="58" xfId="19" applyNumberFormat="1" applyFont="1" applyBorder="1">
      <alignment/>
      <protection/>
    </xf>
    <xf numFmtId="4" fontId="4" fillId="0" borderId="17" xfId="19" applyNumberFormat="1" applyFont="1" applyBorder="1">
      <alignment/>
      <protection/>
    </xf>
    <xf numFmtId="10" fontId="4" fillId="0" borderId="37" xfId="21" applyNumberFormat="1" applyFont="1" applyBorder="1" applyAlignment="1">
      <alignment/>
    </xf>
    <xf numFmtId="3" fontId="8" fillId="0" borderId="0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0" fontId="4" fillId="0" borderId="66" xfId="19" applyFont="1" applyBorder="1" applyAlignment="1">
      <alignment horizontal="center"/>
      <protection/>
    </xf>
    <xf numFmtId="4" fontId="4" fillId="0" borderId="29" xfId="19" applyNumberFormat="1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42" xfId="19" applyFont="1" applyFill="1" applyBorder="1" applyAlignment="1">
      <alignment horizontal="center"/>
      <protection/>
    </xf>
    <xf numFmtId="0" fontId="4" fillId="0" borderId="11" xfId="19" applyFont="1" applyFill="1" applyBorder="1" applyAlignment="1">
      <alignment horizontal="center"/>
      <protection/>
    </xf>
    <xf numFmtId="0" fontId="4" fillId="0" borderId="11" xfId="19" applyFont="1" applyFill="1" applyBorder="1">
      <alignment/>
      <protection/>
    </xf>
    <xf numFmtId="0" fontId="4" fillId="0" borderId="59" xfId="19" applyFont="1" applyFill="1" applyBorder="1">
      <alignment/>
      <protection/>
    </xf>
    <xf numFmtId="3" fontId="4" fillId="0" borderId="60" xfId="19" applyNumberFormat="1" applyFont="1" applyFill="1" applyBorder="1">
      <alignment/>
      <protection/>
    </xf>
    <xf numFmtId="4" fontId="4" fillId="0" borderId="11" xfId="19" applyNumberFormat="1" applyFont="1" applyFill="1" applyBorder="1">
      <alignment/>
      <protection/>
    </xf>
    <xf numFmtId="10" fontId="4" fillId="0" borderId="43" xfId="21" applyNumberFormat="1" applyFont="1" applyFill="1" applyBorder="1" applyAlignment="1">
      <alignment/>
    </xf>
    <xf numFmtId="0" fontId="4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0" fontId="4" fillId="0" borderId="64" xfId="19" applyFont="1" applyBorder="1" applyAlignment="1">
      <alignment horizontal="center"/>
      <protection/>
    </xf>
    <xf numFmtId="0" fontId="4" fillId="0" borderId="29" xfId="19" applyFont="1" applyBorder="1" applyAlignment="1">
      <alignment horizontal="center"/>
      <protection/>
    </xf>
    <xf numFmtId="0" fontId="4" fillId="0" borderId="59" xfId="19" applyFont="1" applyBorder="1" applyAlignment="1">
      <alignment horizontal="center"/>
      <protection/>
    </xf>
    <xf numFmtId="0" fontId="4" fillId="0" borderId="29" xfId="19" applyFont="1" applyFill="1" applyBorder="1">
      <alignment/>
      <protection/>
    </xf>
    <xf numFmtId="0" fontId="4" fillId="0" borderId="67" xfId="19" applyFont="1" applyBorder="1">
      <alignment/>
      <protection/>
    </xf>
    <xf numFmtId="0" fontId="0" fillId="0" borderId="39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0" borderId="14" xfId="19" applyFont="1" applyBorder="1">
      <alignment/>
      <protection/>
    </xf>
    <xf numFmtId="0" fontId="0" fillId="0" borderId="55" xfId="19" applyFont="1" applyBorder="1">
      <alignment/>
      <protection/>
    </xf>
    <xf numFmtId="3" fontId="0" fillId="0" borderId="56" xfId="19" applyNumberFormat="1" applyFont="1" applyBorder="1">
      <alignment/>
      <protection/>
    </xf>
    <xf numFmtId="4" fontId="0" fillId="0" borderId="14" xfId="19" applyNumberFormat="1" applyFont="1" applyBorder="1">
      <alignment/>
      <protection/>
    </xf>
    <xf numFmtId="10" fontId="0" fillId="0" borderId="57" xfId="21" applyNumberFormat="1" applyFont="1" applyBorder="1" applyAlignment="1">
      <alignment/>
    </xf>
    <xf numFmtId="3" fontId="0" fillId="0" borderId="0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15" xfId="19" applyFont="1" applyBorder="1" applyAlignment="1">
      <alignment horizontal="center"/>
      <protection/>
    </xf>
    <xf numFmtId="0" fontId="6" fillId="0" borderId="17" xfId="19" applyFont="1" applyBorder="1" applyAlignment="1">
      <alignment horizontal="center"/>
      <protection/>
    </xf>
    <xf numFmtId="0" fontId="7" fillId="0" borderId="17" xfId="19" applyFont="1" applyBorder="1">
      <alignment/>
      <protection/>
    </xf>
    <xf numFmtId="0" fontId="6" fillId="0" borderId="38" xfId="19" applyFont="1" applyBorder="1">
      <alignment/>
      <protection/>
    </xf>
    <xf numFmtId="3" fontId="7" fillId="0" borderId="58" xfId="19" applyNumberFormat="1" applyFont="1" applyBorder="1">
      <alignment/>
      <protection/>
    </xf>
    <xf numFmtId="4" fontId="7" fillId="0" borderId="16" xfId="19" applyNumberFormat="1" applyFont="1" applyBorder="1">
      <alignment/>
      <protection/>
    </xf>
    <xf numFmtId="10" fontId="7" fillId="0" borderId="37" xfId="21" applyNumberFormat="1" applyFont="1" applyBorder="1" applyAlignment="1">
      <alignment/>
    </xf>
    <xf numFmtId="3" fontId="7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0" fillId="0" borderId="0" xfId="19" applyFont="1" applyAlignment="1">
      <alignment horizontal="centerContinuous"/>
      <protection/>
    </xf>
    <xf numFmtId="0" fontId="7" fillId="0" borderId="0" xfId="19" applyFont="1" applyAlignment="1">
      <alignment/>
      <protection/>
    </xf>
    <xf numFmtId="0" fontId="7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Continuous"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18" fillId="0" borderId="0" xfId="19" applyFont="1" applyBorder="1" applyAlignment="1">
      <alignment horizontal="centerContinuous"/>
      <protection/>
    </xf>
    <xf numFmtId="0" fontId="18" fillId="0" borderId="5" xfId="19" applyFont="1" applyBorder="1" applyAlignment="1">
      <alignment horizontal="centerContinuous"/>
      <protection/>
    </xf>
    <xf numFmtId="0" fontId="4" fillId="0" borderId="0" xfId="19" applyFont="1" applyBorder="1" applyAlignment="1">
      <alignment horizontal="centerContinuous"/>
      <protection/>
    </xf>
    <xf numFmtId="49" fontId="4" fillId="0" borderId="28" xfId="19" applyNumberFormat="1" applyFont="1" applyBorder="1" applyAlignment="1">
      <alignment horizontal="center"/>
      <protection/>
    </xf>
    <xf numFmtId="0" fontId="4" fillId="0" borderId="26" xfId="19" applyFont="1" applyBorder="1">
      <alignment/>
      <protection/>
    </xf>
    <xf numFmtId="0" fontId="4" fillId="0" borderId="10" xfId="19" applyFont="1" applyBorder="1">
      <alignment/>
      <protection/>
    </xf>
    <xf numFmtId="49" fontId="4" fillId="0" borderId="10" xfId="19" applyNumberFormat="1" applyFont="1" applyBorder="1" applyAlignment="1">
      <alignment horizontal="center"/>
      <protection/>
    </xf>
    <xf numFmtId="0" fontId="4" fillId="0" borderId="66" xfId="19" applyFont="1" applyBorder="1">
      <alignment/>
      <protection/>
    </xf>
    <xf numFmtId="3" fontId="4" fillId="0" borderId="28" xfId="19" applyNumberFormat="1" applyFont="1" applyBorder="1" applyAlignment="1">
      <alignment horizontal="center"/>
      <protection/>
    </xf>
    <xf numFmtId="3" fontId="4" fillId="0" borderId="42" xfId="19" applyNumberFormat="1" applyFont="1" applyBorder="1" applyAlignment="1">
      <alignment horizontal="center"/>
      <protection/>
    </xf>
    <xf numFmtId="0" fontId="4" fillId="0" borderId="15" xfId="19" applyFont="1" applyBorder="1" applyAlignment="1">
      <alignment horizontal="center"/>
      <protection/>
    </xf>
    <xf numFmtId="0" fontId="4" fillId="0" borderId="16" xfId="19" applyFont="1" applyBorder="1">
      <alignment/>
      <protection/>
    </xf>
    <xf numFmtId="0" fontId="4" fillId="0" borderId="12" xfId="19" applyFont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4" fillId="0" borderId="13" xfId="19" applyFont="1" applyBorder="1">
      <alignment/>
      <protection/>
    </xf>
    <xf numFmtId="3" fontId="4" fillId="0" borderId="56" xfId="19" applyNumberFormat="1" applyFont="1" applyBorder="1">
      <alignment/>
      <protection/>
    </xf>
    <xf numFmtId="4" fontId="4" fillId="0" borderId="14" xfId="19" applyNumberFormat="1" applyFont="1" applyBorder="1">
      <alignment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26" xfId="19" applyFont="1" applyBorder="1" applyAlignment="1">
      <alignment horizontal="left" vertical="center" wrapText="1"/>
      <protection/>
    </xf>
    <xf numFmtId="0" fontId="18" fillId="0" borderId="28" xfId="19" applyFont="1" applyBorder="1" applyAlignment="1">
      <alignment horizontal="center"/>
      <protection/>
    </xf>
    <xf numFmtId="0" fontId="18" fillId="0" borderId="10" xfId="19" applyFont="1" applyBorder="1" applyAlignment="1">
      <alignment horizontal="center"/>
      <protection/>
    </xf>
    <xf numFmtId="0" fontId="18" fillId="0" borderId="7" xfId="19" applyFont="1" applyBorder="1">
      <alignment/>
      <protection/>
    </xf>
    <xf numFmtId="3" fontId="18" fillId="0" borderId="67" xfId="19" applyNumberFormat="1" applyFont="1" applyBorder="1">
      <alignment/>
      <protection/>
    </xf>
    <xf numFmtId="4" fontId="18" fillId="0" borderId="8" xfId="19" applyNumberFormat="1" applyFont="1" applyBorder="1">
      <alignment/>
      <protection/>
    </xf>
    <xf numFmtId="10" fontId="18" fillId="0" borderId="1" xfId="21" applyNumberFormat="1" applyFont="1" applyBorder="1" applyAlignment="1">
      <alignment/>
    </xf>
    <xf numFmtId="3" fontId="18" fillId="0" borderId="0" xfId="19" applyNumberFormat="1" applyFont="1" applyBorder="1">
      <alignment/>
      <protection/>
    </xf>
    <xf numFmtId="0" fontId="18" fillId="0" borderId="0" xfId="19" applyFont="1">
      <alignment/>
      <protection/>
    </xf>
    <xf numFmtId="0" fontId="18" fillId="0" borderId="10" xfId="19" applyFont="1" applyBorder="1">
      <alignment/>
      <protection/>
    </xf>
    <xf numFmtId="0" fontId="4" fillId="0" borderId="17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6" fillId="0" borderId="13" xfId="19" applyFont="1" applyBorder="1">
      <alignment/>
      <protection/>
    </xf>
    <xf numFmtId="3" fontId="6" fillId="0" borderId="56" xfId="19" applyNumberFormat="1" applyFont="1" applyBorder="1">
      <alignment/>
      <protection/>
    </xf>
    <xf numFmtId="4" fontId="6" fillId="0" borderId="14" xfId="19" applyNumberFormat="1" applyFont="1" applyBorder="1">
      <alignment/>
      <protection/>
    </xf>
    <xf numFmtId="0" fontId="7" fillId="0" borderId="16" xfId="19" applyFont="1" applyBorder="1">
      <alignment/>
      <protection/>
    </xf>
    <xf numFmtId="0" fontId="6" fillId="0" borderId="0" xfId="19" applyFont="1" applyAlignment="1">
      <alignment horizontal="left"/>
      <protection/>
    </xf>
    <xf numFmtId="0" fontId="12" fillId="0" borderId="0" xfId="19" applyFont="1" applyAlignment="1">
      <alignment horizontal="right"/>
      <protection/>
    </xf>
    <xf numFmtId="0" fontId="6" fillId="0" borderId="10" xfId="19" applyFont="1" applyBorder="1">
      <alignment/>
      <protection/>
    </xf>
    <xf numFmtId="0" fontId="6" fillId="0" borderId="27" xfId="19" applyFont="1" applyBorder="1">
      <alignment/>
      <protection/>
    </xf>
    <xf numFmtId="0" fontId="6" fillId="0" borderId="1" xfId="19" applyFont="1" applyBorder="1">
      <alignment/>
      <protection/>
    </xf>
    <xf numFmtId="0" fontId="4" fillId="0" borderId="7" xfId="19" applyFont="1" applyBorder="1">
      <alignment/>
      <protection/>
    </xf>
    <xf numFmtId="0" fontId="6" fillId="0" borderId="33" xfId="19" applyFont="1" applyBorder="1" applyAlignment="1">
      <alignment horizontal="center"/>
      <protection/>
    </xf>
    <xf numFmtId="0" fontId="6" fillId="0" borderId="58" xfId="19" applyFont="1" applyBorder="1">
      <alignment/>
      <protection/>
    </xf>
    <xf numFmtId="0" fontId="6" fillId="0" borderId="16" xfId="19" applyFont="1" applyBorder="1">
      <alignment/>
      <protection/>
    </xf>
    <xf numFmtId="0" fontId="6" fillId="0" borderId="17" xfId="19" applyFont="1" applyBorder="1">
      <alignment/>
      <protection/>
    </xf>
    <xf numFmtId="0" fontId="6" fillId="0" borderId="37" xfId="19" applyFont="1" applyBorder="1">
      <alignment/>
      <protection/>
    </xf>
    <xf numFmtId="0" fontId="6" fillId="0" borderId="12" xfId="19" applyFont="1" applyFill="1" applyBorder="1">
      <alignment/>
      <protection/>
    </xf>
    <xf numFmtId="0" fontId="6" fillId="0" borderId="13" xfId="19" applyFont="1" applyFill="1" applyBorder="1">
      <alignment/>
      <protection/>
    </xf>
    <xf numFmtId="0" fontId="6" fillId="0" borderId="56" xfId="19" applyFont="1" applyFill="1" applyBorder="1">
      <alignment/>
      <protection/>
    </xf>
    <xf numFmtId="3" fontId="6" fillId="0" borderId="56" xfId="19" applyNumberFormat="1" applyFont="1" applyFill="1" applyBorder="1">
      <alignment/>
      <protection/>
    </xf>
    <xf numFmtId="0" fontId="6" fillId="0" borderId="14" xfId="19" applyFont="1" applyFill="1" applyBorder="1">
      <alignment/>
      <protection/>
    </xf>
    <xf numFmtId="10" fontId="4" fillId="0" borderId="57" xfId="21" applyNumberFormat="1" applyFont="1" applyFill="1" applyBorder="1" applyAlignment="1">
      <alignment/>
    </xf>
    <xf numFmtId="0" fontId="6" fillId="0" borderId="15" xfId="19" applyFont="1" applyFill="1" applyBorder="1">
      <alignment/>
      <protection/>
    </xf>
    <xf numFmtId="0" fontId="6" fillId="0" borderId="16" xfId="19" applyFont="1" applyFill="1" applyBorder="1">
      <alignment/>
      <protection/>
    </xf>
    <xf numFmtId="0" fontId="7" fillId="0" borderId="58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3" fontId="7" fillId="0" borderId="58" xfId="19" applyNumberFormat="1" applyFont="1" applyFill="1" applyBorder="1">
      <alignment/>
      <protection/>
    </xf>
    <xf numFmtId="4" fontId="7" fillId="0" borderId="16" xfId="19" applyNumberFormat="1" applyFont="1" applyFill="1" applyBorder="1">
      <alignment/>
      <protection/>
    </xf>
    <xf numFmtId="9" fontId="7" fillId="0" borderId="37" xfId="21" applyFont="1" applyFill="1" applyBorder="1" applyAlignment="1">
      <alignment/>
    </xf>
    <xf numFmtId="0" fontId="7" fillId="0" borderId="0" xfId="19" applyFont="1" applyFill="1" applyBorder="1">
      <alignment/>
      <protection/>
    </xf>
    <xf numFmtId="0" fontId="9" fillId="2" borderId="0" xfId="18" applyFont="1" applyFill="1" applyAlignment="1">
      <alignment horizontal="left"/>
      <protection/>
    </xf>
    <xf numFmtId="0" fontId="5" fillId="2" borderId="0" xfId="18" applyFont="1" applyFill="1">
      <alignment/>
      <protection/>
    </xf>
    <xf numFmtId="0" fontId="23" fillId="0" borderId="0" xfId="19" applyFont="1">
      <alignment/>
      <protection/>
    </xf>
    <xf numFmtId="0" fontId="23" fillId="0" borderId="0" xfId="19" applyFont="1" applyBorder="1">
      <alignment/>
      <protection/>
    </xf>
    <xf numFmtId="0" fontId="4" fillId="2" borderId="9" xfId="18" applyFont="1" applyFill="1" applyBorder="1" applyAlignment="1">
      <alignment horizontal="center"/>
      <protection/>
    </xf>
    <xf numFmtId="0" fontId="4" fillId="2" borderId="26" xfId="18" applyFont="1" applyFill="1" applyBorder="1" applyAlignment="1">
      <alignment horizontal="center"/>
      <protection/>
    </xf>
    <xf numFmtId="0" fontId="4" fillId="2" borderId="10" xfId="18" applyFont="1" applyFill="1" applyBorder="1" applyAlignment="1">
      <alignment horizontal="center"/>
      <protection/>
    </xf>
    <xf numFmtId="3" fontId="4" fillId="2" borderId="10" xfId="18" applyNumberFormat="1" applyFont="1" applyFill="1" applyBorder="1">
      <alignment/>
      <protection/>
    </xf>
    <xf numFmtId="4" fontId="4" fillId="2" borderId="10" xfId="18" applyNumberFormat="1" applyFont="1" applyFill="1" applyBorder="1">
      <alignment/>
      <protection/>
    </xf>
    <xf numFmtId="10" fontId="4" fillId="2" borderId="1" xfId="21" applyNumberFormat="1" applyFont="1" applyFill="1" applyBorder="1" applyAlignment="1">
      <alignment/>
    </xf>
    <xf numFmtId="0" fontId="4" fillId="2" borderId="7" xfId="18" applyFont="1" applyFill="1" applyBorder="1" applyAlignment="1">
      <alignment horizontal="center"/>
      <protection/>
    </xf>
    <xf numFmtId="3" fontId="4" fillId="2" borderId="7" xfId="18" applyNumberFormat="1" applyFont="1" applyFill="1" applyBorder="1">
      <alignment/>
      <protection/>
    </xf>
    <xf numFmtId="4" fontId="4" fillId="2" borderId="7" xfId="18" applyNumberFormat="1" applyFont="1" applyFill="1" applyBorder="1">
      <alignment/>
      <protection/>
    </xf>
    <xf numFmtId="10" fontId="4" fillId="2" borderId="3" xfId="21" applyNumberFormat="1" applyFont="1" applyFill="1" applyBorder="1" applyAlignment="1">
      <alignment/>
    </xf>
    <xf numFmtId="3" fontId="4" fillId="2" borderId="26" xfId="18" applyNumberFormat="1" applyFont="1" applyFill="1" applyBorder="1">
      <alignment/>
      <protection/>
    </xf>
    <xf numFmtId="4" fontId="4" fillId="2" borderId="26" xfId="18" applyNumberFormat="1" applyFont="1" applyFill="1" applyBorder="1">
      <alignment/>
      <protection/>
    </xf>
    <xf numFmtId="4" fontId="4" fillId="2" borderId="8" xfId="18" applyNumberFormat="1" applyFont="1" applyFill="1" applyBorder="1">
      <alignment/>
      <protection/>
    </xf>
    <xf numFmtId="0" fontId="4" fillId="2" borderId="64" xfId="18" applyFont="1" applyFill="1" applyBorder="1" applyAlignment="1">
      <alignment horizontal="center"/>
      <protection/>
    </xf>
    <xf numFmtId="0" fontId="4" fillId="2" borderId="66" xfId="18" applyFont="1" applyFill="1" applyBorder="1" applyAlignment="1">
      <alignment horizontal="center"/>
      <protection/>
    </xf>
    <xf numFmtId="49" fontId="4" fillId="2" borderId="66" xfId="18" applyNumberFormat="1" applyFont="1" applyFill="1" applyBorder="1" applyAlignment="1">
      <alignment horizontal="center"/>
      <protection/>
    </xf>
    <xf numFmtId="3" fontId="4" fillId="2" borderId="66" xfId="18" applyNumberFormat="1" applyFont="1" applyFill="1" applyBorder="1">
      <alignment/>
      <protection/>
    </xf>
    <xf numFmtId="4" fontId="4" fillId="2" borderId="11" xfId="15" applyNumberFormat="1" applyFont="1" applyFill="1" applyBorder="1" applyAlignment="1">
      <alignment horizontal="right" wrapText="1"/>
    </xf>
    <xf numFmtId="10" fontId="4" fillId="2" borderId="43" xfId="21" applyNumberFormat="1" applyFont="1" applyFill="1" applyBorder="1" applyAlignment="1">
      <alignment/>
    </xf>
    <xf numFmtId="10" fontId="4" fillId="2" borderId="3" xfId="18" applyNumberFormat="1" applyFont="1" applyFill="1" applyBorder="1">
      <alignment/>
      <protection/>
    </xf>
    <xf numFmtId="0" fontId="4" fillId="2" borderId="5" xfId="18" applyFont="1" applyFill="1" applyBorder="1" applyAlignment="1">
      <alignment horizontal="center"/>
      <protection/>
    </xf>
    <xf numFmtId="3" fontId="4" fillId="2" borderId="5" xfId="18" applyNumberFormat="1" applyFont="1" applyFill="1" applyBorder="1">
      <alignment/>
      <protection/>
    </xf>
    <xf numFmtId="4" fontId="4" fillId="2" borderId="5" xfId="18" applyNumberFormat="1" applyFont="1" applyFill="1" applyBorder="1">
      <alignment/>
      <protection/>
    </xf>
    <xf numFmtId="0" fontId="4" fillId="2" borderId="28" xfId="18" applyFont="1" applyFill="1" applyBorder="1" applyAlignment="1">
      <alignment horizontal="center"/>
      <protection/>
    </xf>
    <xf numFmtId="49" fontId="4" fillId="2" borderId="26" xfId="18" applyNumberFormat="1" applyFont="1" applyFill="1" applyBorder="1" applyAlignment="1">
      <alignment horizontal="center"/>
      <protection/>
    </xf>
    <xf numFmtId="4" fontId="4" fillId="2" borderId="4" xfId="15" applyNumberFormat="1" applyFont="1" applyFill="1" applyBorder="1" applyAlignment="1">
      <alignment horizontal="right" wrapText="1"/>
    </xf>
    <xf numFmtId="10" fontId="4" fillId="2" borderId="2" xfId="21" applyNumberFormat="1" applyFont="1" applyFill="1" applyBorder="1" applyAlignment="1">
      <alignment/>
    </xf>
    <xf numFmtId="49" fontId="4" fillId="2" borderId="10" xfId="18" applyNumberFormat="1" applyFont="1" applyFill="1" applyBorder="1" applyAlignment="1">
      <alignment horizontal="center"/>
      <protection/>
    </xf>
    <xf numFmtId="4" fontId="6" fillId="2" borderId="13" xfId="18" applyNumberFormat="1" applyFont="1" applyFill="1" applyBorder="1">
      <alignment/>
      <protection/>
    </xf>
    <xf numFmtId="10" fontId="6" fillId="2" borderId="57" xfId="21" applyNumberFormat="1" applyFont="1" applyFill="1" applyBorder="1" applyAlignment="1">
      <alignment/>
    </xf>
    <xf numFmtId="4" fontId="7" fillId="2" borderId="16" xfId="18" applyNumberFormat="1" applyFont="1" applyFill="1" applyBorder="1">
      <alignment/>
      <protection/>
    </xf>
    <xf numFmtId="10" fontId="7" fillId="2" borderId="37" xfId="21" applyNumberFormat="1" applyFont="1" applyFill="1" applyBorder="1" applyAlignment="1">
      <alignment/>
    </xf>
    <xf numFmtId="0" fontId="0" fillId="3" borderId="68" xfId="19" applyFont="1" applyFill="1" applyBorder="1" applyAlignment="1">
      <alignment horizontal="center" vertical="center" wrapText="1"/>
      <protection/>
    </xf>
    <xf numFmtId="49" fontId="0" fillId="3" borderId="23" xfId="19" applyNumberFormat="1" applyFont="1" applyFill="1" applyBorder="1" applyAlignment="1">
      <alignment horizontal="center" vertical="center" wrapText="1"/>
      <protection/>
    </xf>
    <xf numFmtId="0" fontId="0" fillId="3" borderId="23" xfId="19" applyFont="1" applyFill="1" applyBorder="1" applyAlignment="1">
      <alignment horizontal="center" vertical="center" wrapText="1"/>
      <protection/>
    </xf>
    <xf numFmtId="49" fontId="0" fillId="3" borderId="18" xfId="19" applyNumberFormat="1" applyFont="1" applyFill="1" applyBorder="1" applyAlignment="1">
      <alignment horizontal="center" vertical="center" wrapText="1"/>
      <protection/>
    </xf>
    <xf numFmtId="0" fontId="0" fillId="3" borderId="41" xfId="21" applyNumberFormat="1" applyFont="1" applyFill="1" applyBorder="1" applyAlignment="1">
      <alignment horizontal="center" vertical="center" wrapText="1"/>
    </xf>
    <xf numFmtId="0" fontId="0" fillId="3" borderId="19" xfId="19" applyFont="1" applyFill="1" applyBorder="1" applyAlignment="1">
      <alignment horizontal="center" vertical="center" wrapText="1"/>
      <protection/>
    </xf>
    <xf numFmtId="49" fontId="0" fillId="3" borderId="20" xfId="19" applyNumberFormat="1" applyFont="1" applyFill="1" applyBorder="1" applyAlignment="1">
      <alignment horizontal="center" vertical="center" wrapText="1"/>
      <protection/>
    </xf>
    <xf numFmtId="0" fontId="0" fillId="3" borderId="20" xfId="19" applyFont="1" applyFill="1" applyBorder="1" applyAlignment="1">
      <alignment horizontal="center" vertical="center" wrapText="1"/>
      <protection/>
    </xf>
    <xf numFmtId="49" fontId="0" fillId="3" borderId="21" xfId="19" applyNumberFormat="1" applyFont="1" applyFill="1" applyBorder="1" applyAlignment="1">
      <alignment horizontal="center" vertical="center" wrapText="1"/>
      <protection/>
    </xf>
    <xf numFmtId="0" fontId="0" fillId="3" borderId="22" xfId="21" applyNumberFormat="1" applyFont="1" applyFill="1" applyBorder="1" applyAlignment="1">
      <alignment horizontal="center" vertical="center" wrapText="1"/>
    </xf>
    <xf numFmtId="0" fontId="1" fillId="3" borderId="69" xfId="19" applyFont="1" applyFill="1" applyBorder="1" applyAlignment="1">
      <alignment horizontal="center"/>
      <protection/>
    </xf>
    <xf numFmtId="0" fontId="10" fillId="3" borderId="70" xfId="19" applyFont="1" applyFill="1" applyBorder="1" applyAlignment="1">
      <alignment horizontal="center"/>
      <protection/>
    </xf>
    <xf numFmtId="0" fontId="0" fillId="3" borderId="33" xfId="19" applyFont="1" applyFill="1" applyBorder="1" applyAlignment="1">
      <alignment horizontal="centerContinuous"/>
      <protection/>
    </xf>
    <xf numFmtId="0" fontId="0" fillId="3" borderId="16" xfId="19" applyFont="1" applyFill="1" applyBorder="1" applyAlignment="1">
      <alignment horizontal="center"/>
      <protection/>
    </xf>
    <xf numFmtId="0" fontId="0" fillId="3" borderId="37" xfId="19" applyFont="1" applyFill="1" applyBorder="1" applyAlignment="1">
      <alignment horizontal="center"/>
      <protection/>
    </xf>
    <xf numFmtId="0" fontId="8" fillId="3" borderId="71" xfId="19" applyFont="1" applyFill="1" applyBorder="1" applyAlignment="1">
      <alignment horizontal="center"/>
      <protection/>
    </xf>
    <xf numFmtId="0" fontId="8" fillId="3" borderId="15" xfId="19" applyFont="1" applyFill="1" applyBorder="1" applyAlignment="1">
      <alignment horizontal="center"/>
      <protection/>
    </xf>
    <xf numFmtId="0" fontId="8" fillId="3" borderId="17" xfId="19" applyFont="1" applyFill="1" applyBorder="1" applyAlignment="1">
      <alignment horizontal="centerContinuous"/>
      <protection/>
    </xf>
    <xf numFmtId="0" fontId="8" fillId="3" borderId="38" xfId="19" applyFont="1" applyFill="1" applyBorder="1" applyAlignment="1">
      <alignment horizontal="centerContinuous"/>
      <protection/>
    </xf>
    <xf numFmtId="0" fontId="8" fillId="3" borderId="16" xfId="19" applyFont="1" applyFill="1" applyBorder="1" applyAlignment="1">
      <alignment horizontal="center"/>
      <protection/>
    </xf>
    <xf numFmtId="0" fontId="8" fillId="3" borderId="37" xfId="19" applyFont="1" applyFill="1" applyBorder="1" applyAlignment="1">
      <alignment horizontal="center"/>
      <protection/>
    </xf>
    <xf numFmtId="0" fontId="8" fillId="3" borderId="17" xfId="19" applyFont="1" applyFill="1" applyBorder="1" applyAlignment="1">
      <alignment horizontal="center"/>
      <protection/>
    </xf>
    <xf numFmtId="0" fontId="8" fillId="3" borderId="58" xfId="19" applyFont="1" applyFill="1" applyBorder="1" applyAlignment="1">
      <alignment horizontal="center"/>
      <protection/>
    </xf>
    <xf numFmtId="3" fontId="8" fillId="3" borderId="72" xfId="19" applyNumberFormat="1" applyFont="1" applyFill="1" applyBorder="1" applyAlignment="1">
      <alignment horizontal="center"/>
      <protection/>
    </xf>
    <xf numFmtId="3" fontId="8" fillId="3" borderId="18" xfId="19" applyNumberFormat="1" applyFont="1" applyFill="1" applyBorder="1" applyAlignment="1">
      <alignment horizontal="center"/>
      <protection/>
    </xf>
    <xf numFmtId="3" fontId="8" fillId="3" borderId="41" xfId="19" applyNumberFormat="1" applyFont="1" applyFill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0" fillId="2" borderId="10" xfId="18" applyFont="1" applyFill="1" applyBorder="1">
      <alignment/>
      <protection/>
    </xf>
    <xf numFmtId="0" fontId="0" fillId="2" borderId="1" xfId="18" applyFont="1" applyFill="1" applyBorder="1">
      <alignment/>
      <protection/>
    </xf>
    <xf numFmtId="0" fontId="10" fillId="3" borderId="57" xfId="18" applyFont="1" applyFill="1" applyBorder="1" applyAlignment="1">
      <alignment horizontal="center"/>
      <protection/>
    </xf>
    <xf numFmtId="49" fontId="10" fillId="3" borderId="2" xfId="18" applyNumberFormat="1" applyFont="1" applyFill="1" applyBorder="1" applyAlignment="1">
      <alignment horizontal="center"/>
      <protection/>
    </xf>
    <xf numFmtId="0" fontId="10" fillId="3" borderId="71" xfId="19" applyFont="1" applyFill="1" applyBorder="1" applyAlignment="1">
      <alignment horizontal="center" vertical="center"/>
      <protection/>
    </xf>
    <xf numFmtId="0" fontId="10" fillId="3" borderId="18" xfId="19" applyFont="1" applyFill="1" applyBorder="1" applyAlignment="1">
      <alignment horizontal="center" vertical="center"/>
      <protection/>
    </xf>
    <xf numFmtId="0" fontId="10" fillId="3" borderId="23" xfId="19" applyFont="1" applyFill="1" applyBorder="1" applyAlignment="1">
      <alignment horizontal="center" vertical="center"/>
      <protection/>
    </xf>
    <xf numFmtId="0" fontId="10" fillId="3" borderId="41" xfId="19" applyFont="1" applyFill="1" applyBorder="1" applyAlignment="1">
      <alignment horizontal="center" vertical="center" wrapText="1"/>
      <protection/>
    </xf>
    <xf numFmtId="0" fontId="0" fillId="3" borderId="15" xfId="19" applyFont="1" applyFill="1" applyBorder="1" applyAlignment="1">
      <alignment horizontal="centerContinuous"/>
      <protection/>
    </xf>
    <xf numFmtId="0" fontId="0" fillId="3" borderId="17" xfId="19" applyFont="1" applyFill="1" applyBorder="1" applyAlignment="1">
      <alignment horizontal="centerContinuous"/>
      <protection/>
    </xf>
    <xf numFmtId="0" fontId="0" fillId="3" borderId="58" xfId="19" applyFont="1" applyFill="1" applyBorder="1" applyAlignment="1">
      <alignment horizontal="center"/>
      <protection/>
    </xf>
    <xf numFmtId="0" fontId="0" fillId="3" borderId="17" xfId="19" applyFont="1" applyFill="1" applyBorder="1" applyAlignment="1">
      <alignment horizontal="center"/>
      <protection/>
    </xf>
    <xf numFmtId="0" fontId="8" fillId="3" borderId="33" xfId="18" applyFont="1" applyFill="1" applyBorder="1" applyAlignment="1">
      <alignment horizontal="center"/>
      <protection/>
    </xf>
    <xf numFmtId="0" fontId="8" fillId="3" borderId="16" xfId="18" applyFont="1" applyFill="1" applyBorder="1" applyAlignment="1">
      <alignment horizontal="center"/>
      <protection/>
    </xf>
    <xf numFmtId="0" fontId="8" fillId="3" borderId="17" xfId="18" applyFont="1" applyFill="1" applyBorder="1" applyAlignment="1">
      <alignment horizontal="centerContinuous"/>
      <protection/>
    </xf>
    <xf numFmtId="0" fontId="8" fillId="3" borderId="37" xfId="18" applyFont="1" applyFill="1" applyBorder="1" applyAlignment="1">
      <alignment horizontal="center"/>
      <protection/>
    </xf>
    <xf numFmtId="0" fontId="8" fillId="3" borderId="15" xfId="19" applyFont="1" applyFill="1" applyBorder="1" applyAlignment="1">
      <alignment horizontal="centerContinuous"/>
      <protection/>
    </xf>
    <xf numFmtId="0" fontId="8" fillId="3" borderId="16" xfId="19" applyFont="1" applyFill="1" applyBorder="1" applyAlignment="1">
      <alignment horizontal="centerContinuous"/>
      <protection/>
    </xf>
    <xf numFmtId="0" fontId="8" fillId="3" borderId="9" xfId="19" applyFont="1" applyFill="1" applyBorder="1" applyAlignment="1">
      <alignment horizontal="center" vertical="center" wrapText="1"/>
      <protection/>
    </xf>
    <xf numFmtId="49" fontId="8" fillId="3" borderId="10" xfId="19" applyNumberFormat="1" applyFont="1" applyFill="1" applyBorder="1" applyAlignment="1">
      <alignment horizontal="center" vertical="center" wrapText="1"/>
      <protection/>
    </xf>
    <xf numFmtId="0" fontId="8" fillId="3" borderId="10" xfId="19" applyFont="1" applyFill="1" applyBorder="1" applyAlignment="1">
      <alignment horizontal="center" vertical="center" wrapText="1"/>
      <protection/>
    </xf>
    <xf numFmtId="0" fontId="8" fillId="3" borderId="5" xfId="19" applyFont="1" applyFill="1" applyBorder="1" applyAlignment="1">
      <alignment horizontal="center" vertical="center" wrapText="1"/>
      <protection/>
    </xf>
    <xf numFmtId="0" fontId="8" fillId="3" borderId="47" xfId="19" applyFont="1" applyFill="1" applyBorder="1" applyAlignment="1">
      <alignment horizontal="center" vertical="center" wrapText="1"/>
      <protection/>
    </xf>
    <xf numFmtId="0" fontId="1" fillId="3" borderId="68" xfId="19" applyFont="1" applyFill="1" applyBorder="1" applyAlignment="1">
      <alignment horizontal="center" vertical="center" wrapText="1"/>
      <protection/>
    </xf>
    <xf numFmtId="49" fontId="1" fillId="3" borderId="23" xfId="19" applyNumberFormat="1" applyFont="1" applyFill="1" applyBorder="1" applyAlignment="1">
      <alignment horizontal="center" vertical="center" wrapText="1"/>
      <protection/>
    </xf>
    <xf numFmtId="0" fontId="1" fillId="3" borderId="23" xfId="19" applyFont="1" applyFill="1" applyBorder="1" applyAlignment="1">
      <alignment horizontal="center" vertical="center" wrapText="1"/>
      <protection/>
    </xf>
    <xf numFmtId="0" fontId="1" fillId="3" borderId="18" xfId="19" applyFont="1" applyFill="1" applyBorder="1" applyAlignment="1">
      <alignment horizontal="center" vertical="center" wrapText="1"/>
      <protection/>
    </xf>
    <xf numFmtId="0" fontId="1" fillId="3" borderId="41" xfId="19" applyFont="1" applyFill="1" applyBorder="1" applyAlignment="1">
      <alignment horizontal="center" vertical="center" wrapText="1"/>
      <protection/>
    </xf>
    <xf numFmtId="0" fontId="8" fillId="3" borderId="40" xfId="19" applyFont="1" applyFill="1" applyBorder="1" applyAlignment="1">
      <alignment horizontal="center"/>
      <protection/>
    </xf>
    <xf numFmtId="0" fontId="9" fillId="0" borderId="0" xfId="19" applyFont="1" applyBorder="1" applyAlignment="1">
      <alignment horizontal="left" wrapText="1"/>
      <protection/>
    </xf>
    <xf numFmtId="0" fontId="10" fillId="3" borderId="2" xfId="19" applyFont="1" applyFill="1" applyBorder="1" applyAlignment="1">
      <alignment horizontal="center" vertical="center" wrapText="1"/>
      <protection/>
    </xf>
    <xf numFmtId="0" fontId="7" fillId="0" borderId="14" xfId="19" applyFont="1" applyBorder="1" applyAlignment="1">
      <alignment horizontal="center"/>
      <protection/>
    </xf>
    <xf numFmtId="0" fontId="7" fillId="0" borderId="17" xfId="19" applyFont="1" applyBorder="1" applyAlignment="1">
      <alignment horizontal="center"/>
      <protection/>
    </xf>
    <xf numFmtId="0" fontId="10" fillId="3" borderId="13" xfId="19" applyFont="1" applyFill="1" applyBorder="1" applyAlignment="1">
      <alignment horizontal="center" vertical="center"/>
      <protection/>
    </xf>
    <xf numFmtId="0" fontId="10" fillId="3" borderId="26" xfId="19" applyFont="1" applyFill="1" applyBorder="1" applyAlignment="1">
      <alignment horizontal="center" vertical="center"/>
      <protection/>
    </xf>
    <xf numFmtId="0" fontId="8" fillId="3" borderId="18" xfId="19" applyFont="1" applyFill="1" applyBorder="1" applyAlignment="1">
      <alignment horizontal="center"/>
      <protection/>
    </xf>
    <xf numFmtId="0" fontId="10" fillId="3" borderId="53" xfId="18" applyFont="1" applyFill="1" applyBorder="1" applyAlignment="1">
      <alignment horizontal="center" vertical="center"/>
      <protection/>
    </xf>
    <xf numFmtId="0" fontId="11" fillId="0" borderId="0" xfId="18" applyFont="1" applyFill="1" applyBorder="1" applyAlignment="1">
      <alignment horizontal="left"/>
      <protection/>
    </xf>
    <xf numFmtId="0" fontId="10" fillId="3" borderId="39" xfId="19" applyFont="1" applyFill="1" applyBorder="1" applyAlignment="1">
      <alignment horizontal="center" vertical="center"/>
      <protection/>
    </xf>
    <xf numFmtId="0" fontId="10" fillId="3" borderId="53" xfId="19" applyFont="1" applyFill="1" applyBorder="1" applyAlignment="1">
      <alignment horizontal="center" vertical="center"/>
      <protection/>
    </xf>
    <xf numFmtId="0" fontId="10" fillId="3" borderId="14" xfId="19" applyFont="1" applyFill="1" applyBorder="1" applyAlignment="1">
      <alignment horizontal="center" vertical="center"/>
      <protection/>
    </xf>
    <xf numFmtId="0" fontId="10" fillId="3" borderId="55" xfId="19" applyFont="1" applyFill="1" applyBorder="1" applyAlignment="1">
      <alignment horizontal="center" vertical="center"/>
      <protection/>
    </xf>
    <xf numFmtId="0" fontId="10" fillId="3" borderId="4" xfId="19" applyFont="1" applyFill="1" applyBorder="1" applyAlignment="1">
      <alignment horizontal="center" vertical="center"/>
      <protection/>
    </xf>
    <xf numFmtId="0" fontId="10" fillId="3" borderId="29" xfId="19" applyFont="1" applyFill="1" applyBorder="1" applyAlignment="1">
      <alignment horizontal="center" vertical="center"/>
      <protection/>
    </xf>
    <xf numFmtId="0" fontId="10" fillId="3" borderId="56" xfId="19" applyFont="1" applyFill="1" applyBorder="1" applyAlignment="1">
      <alignment horizontal="center" vertical="center"/>
      <protection/>
    </xf>
    <xf numFmtId="0" fontId="10" fillId="3" borderId="54" xfId="19" applyFont="1" applyFill="1" applyBorder="1" applyAlignment="1">
      <alignment horizontal="center" vertical="center"/>
      <protection/>
    </xf>
    <xf numFmtId="0" fontId="10" fillId="3" borderId="57" xfId="19" applyFont="1" applyFill="1" applyBorder="1" applyAlignment="1">
      <alignment horizontal="center" vertical="center" wrapText="1"/>
      <protection/>
    </xf>
    <xf numFmtId="0" fontId="4" fillId="0" borderId="59" xfId="19" applyFont="1" applyBorder="1" applyAlignment="1">
      <alignment horizontal="left"/>
      <protection/>
    </xf>
    <xf numFmtId="0" fontId="10" fillId="3" borderId="39" xfId="18" applyFont="1" applyFill="1" applyBorder="1" applyAlignment="1">
      <alignment horizontal="center" vertical="center"/>
      <protection/>
    </xf>
    <xf numFmtId="0" fontId="10" fillId="3" borderId="13" xfId="18" applyFont="1" applyFill="1" applyBorder="1" applyAlignment="1">
      <alignment horizontal="center" vertical="center"/>
      <protection/>
    </xf>
    <xf numFmtId="0" fontId="10" fillId="3" borderId="26" xfId="18" applyFont="1" applyFill="1" applyBorder="1" applyAlignment="1">
      <alignment horizontal="center" vertical="center"/>
      <protection/>
    </xf>
    <xf numFmtId="0" fontId="4" fillId="0" borderId="4" xfId="19" applyFont="1" applyBorder="1" applyAlignment="1">
      <alignment horizontal="left"/>
      <protection/>
    </xf>
    <xf numFmtId="0" fontId="4" fillId="0" borderId="29" xfId="19" applyFont="1" applyBorder="1" applyAlignment="1">
      <alignment horizontal="left"/>
      <protection/>
    </xf>
    <xf numFmtId="0" fontId="4" fillId="0" borderId="11" xfId="19" applyFont="1" applyBorder="1" applyAlignment="1">
      <alignment horizontal="left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1" fillId="0" borderId="19" xfId="19" applyFont="1" applyBorder="1" applyAlignment="1">
      <alignment horizontal="center" vertical="center" wrapText="1"/>
      <protection/>
    </xf>
    <xf numFmtId="0" fontId="1" fillId="0" borderId="20" xfId="19" applyFont="1" applyBorder="1" applyAlignment="1">
      <alignment horizontal="center" vertical="center" wrapText="1"/>
      <protection/>
    </xf>
    <xf numFmtId="0" fontId="11" fillId="0" borderId="0" xfId="18" applyFont="1" applyAlignment="1">
      <alignment horizontal="left" wrapText="1"/>
      <protection/>
    </xf>
    <xf numFmtId="0" fontId="15" fillId="0" borderId="0" xfId="18" applyFont="1" applyAlignment="1">
      <alignment horizontal="center"/>
      <protection/>
    </xf>
    <xf numFmtId="0" fontId="16" fillId="0" borderId="0" xfId="18" applyFont="1" applyAlignment="1">
      <alignment horizontal="center"/>
      <protection/>
    </xf>
    <xf numFmtId="0" fontId="11" fillId="0" borderId="0" xfId="18" applyFont="1" applyAlignment="1">
      <alignment horizontal="left"/>
      <protection/>
    </xf>
    <xf numFmtId="0" fontId="9" fillId="0" borderId="0" xfId="18" applyFont="1" applyAlignment="1">
      <alignment horizontal="left"/>
      <protection/>
    </xf>
    <xf numFmtId="0" fontId="7" fillId="3" borderId="39" xfId="19" applyFont="1" applyFill="1" applyBorder="1" applyAlignment="1">
      <alignment horizontal="center" vertical="center"/>
      <protection/>
    </xf>
    <xf numFmtId="0" fontId="7" fillId="3" borderId="53" xfId="19" applyFont="1" applyFill="1" applyBorder="1" applyAlignment="1">
      <alignment horizontal="center" vertical="center"/>
      <protection/>
    </xf>
    <xf numFmtId="0" fontId="1" fillId="3" borderId="14" xfId="19" applyFont="1" applyFill="1" applyBorder="1" applyAlignment="1">
      <alignment horizontal="center" vertical="center"/>
      <protection/>
    </xf>
    <xf numFmtId="0" fontId="1" fillId="3" borderId="4" xfId="19" applyFont="1" applyFill="1" applyBorder="1" applyAlignment="1">
      <alignment horizontal="center" vertical="center"/>
      <protection/>
    </xf>
    <xf numFmtId="0" fontId="1" fillId="3" borderId="23" xfId="19" applyFont="1" applyFill="1" applyBorder="1" applyAlignment="1">
      <alignment horizontal="center" vertical="center"/>
      <protection/>
    </xf>
    <xf numFmtId="0" fontId="1" fillId="3" borderId="24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Informacja o wykonaniu budżetu za 9 m-cy" xfId="18"/>
    <cellStyle name="Normalny_Informacja za I półrocze 2006 r. - część tabelaryczna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42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8.00390625" style="8" customWidth="1"/>
    <col min="2" max="2" width="11.25390625" style="20" customWidth="1"/>
    <col min="3" max="3" width="99.625" style="21" customWidth="1"/>
    <col min="4" max="5" width="17.00390625" style="15" bestFit="1" customWidth="1"/>
    <col min="6" max="6" width="10.625" style="15" bestFit="1" customWidth="1"/>
    <col min="7" max="16384" width="9.125" style="15" customWidth="1"/>
  </cols>
  <sheetData>
    <row r="1" spans="1:6" s="5" customFormat="1" ht="25.5">
      <c r="A1" s="588" t="s">
        <v>22</v>
      </c>
      <c r="B1" s="588"/>
      <c r="C1" s="588"/>
      <c r="D1" s="588"/>
      <c r="E1" s="588"/>
      <c r="F1" s="588"/>
    </row>
    <row r="2" spans="1:6" s="5" customFormat="1" ht="25.5">
      <c r="A2" s="588" t="s">
        <v>23</v>
      </c>
      <c r="B2" s="588"/>
      <c r="C2" s="588"/>
      <c r="D2" s="588"/>
      <c r="E2" s="588"/>
      <c r="F2" s="588"/>
    </row>
    <row r="3" spans="1:6" s="5" customFormat="1" ht="25.5">
      <c r="A3" s="588" t="s">
        <v>0</v>
      </c>
      <c r="B3" s="588"/>
      <c r="C3" s="588"/>
      <c r="D3" s="588"/>
      <c r="E3" s="588"/>
      <c r="F3" s="588"/>
    </row>
    <row r="4" spans="1:6" s="5" customFormat="1" ht="25.5">
      <c r="A4" s="4"/>
      <c r="B4" s="4"/>
      <c r="C4" s="4"/>
      <c r="D4" s="4"/>
      <c r="E4" s="4"/>
      <c r="F4" s="4"/>
    </row>
    <row r="5" spans="1:6" s="5" customFormat="1" ht="22.5">
      <c r="A5" s="589" t="s">
        <v>121</v>
      </c>
      <c r="B5" s="589"/>
      <c r="C5" s="589"/>
      <c r="D5" s="589"/>
      <c r="E5" s="589"/>
      <c r="F5" s="589"/>
    </row>
    <row r="6" spans="2:6" s="5" customFormat="1" ht="18">
      <c r="B6" s="6"/>
      <c r="C6" s="6"/>
      <c r="D6" s="6"/>
      <c r="E6" s="6"/>
      <c r="F6" s="7"/>
    </row>
    <row r="7" spans="1:6" s="5" customFormat="1" ht="18">
      <c r="A7" s="590" t="s">
        <v>111</v>
      </c>
      <c r="B7" s="590"/>
      <c r="C7" s="590"/>
      <c r="D7" s="590"/>
      <c r="E7" s="590"/>
      <c r="F7" s="590"/>
    </row>
    <row r="8" spans="1:6" s="5" customFormat="1" ht="18">
      <c r="A8" s="590" t="s">
        <v>112</v>
      </c>
      <c r="B8" s="590"/>
      <c r="C8" s="590"/>
      <c r="D8" s="590"/>
      <c r="E8" s="590"/>
      <c r="F8" s="590"/>
    </row>
    <row r="9" spans="1:3" s="5" customFormat="1" ht="12">
      <c r="A9" s="8"/>
      <c r="B9" s="9"/>
      <c r="C9" s="10"/>
    </row>
    <row r="10" spans="1:6" ht="15.75" customHeight="1" thickBot="1">
      <c r="A10" s="11"/>
      <c r="B10" s="12"/>
      <c r="C10" s="13"/>
      <c r="D10" s="14"/>
      <c r="E10" s="14"/>
      <c r="F10" s="14" t="s">
        <v>124</v>
      </c>
    </row>
    <row r="11" spans="1:6" s="51" customFormat="1" ht="27" customHeight="1">
      <c r="A11" s="553" t="s">
        <v>265</v>
      </c>
      <c r="B11" s="554" t="s">
        <v>90</v>
      </c>
      <c r="C11" s="555" t="s">
        <v>160</v>
      </c>
      <c r="D11" s="556" t="s">
        <v>234</v>
      </c>
      <c r="E11" s="555" t="s">
        <v>128</v>
      </c>
      <c r="F11" s="557" t="s">
        <v>113</v>
      </c>
    </row>
    <row r="12" spans="1:6" s="51" customFormat="1" ht="10.5" customHeight="1" thickBot="1">
      <c r="A12" s="548">
        <v>1</v>
      </c>
      <c r="B12" s="549" t="s">
        <v>193</v>
      </c>
      <c r="C12" s="550">
        <v>3</v>
      </c>
      <c r="D12" s="551">
        <v>4</v>
      </c>
      <c r="E12" s="550">
        <v>5</v>
      </c>
      <c r="F12" s="552">
        <v>6</v>
      </c>
    </row>
    <row r="13" spans="1:6" s="58" customFormat="1" ht="18.75" customHeight="1" thickBot="1">
      <c r="A13" s="52" t="s">
        <v>293</v>
      </c>
      <c r="B13" s="53"/>
      <c r="C13" s="54" t="s">
        <v>1</v>
      </c>
      <c r="D13" s="55">
        <f>SUM(D14:D14)</f>
        <v>859</v>
      </c>
      <c r="E13" s="56">
        <f>SUM(E14:E14)</f>
        <v>858.85</v>
      </c>
      <c r="F13" s="57">
        <f>SUM(E13/D13)</f>
        <v>0.9998</v>
      </c>
    </row>
    <row r="14" spans="1:6" s="58" customFormat="1" ht="26.25" customHeight="1" thickBot="1">
      <c r="A14" s="59"/>
      <c r="B14" s="60" t="s">
        <v>167</v>
      </c>
      <c r="C14" s="61" t="s">
        <v>100</v>
      </c>
      <c r="D14" s="62">
        <v>859</v>
      </c>
      <c r="E14" s="63">
        <v>858.85</v>
      </c>
      <c r="F14" s="64">
        <f>SUM(E14/D14)</f>
        <v>0.9998</v>
      </c>
    </row>
    <row r="15" spans="1:6" s="58" customFormat="1" ht="18.75" customHeight="1" thickBot="1">
      <c r="A15" s="65">
        <v>400</v>
      </c>
      <c r="B15" s="53"/>
      <c r="C15" s="54" t="s">
        <v>192</v>
      </c>
      <c r="D15" s="55">
        <f>SUM(D16:D18)</f>
        <v>10660444</v>
      </c>
      <c r="E15" s="56">
        <f>SUM(E16:E18)</f>
        <v>7855184.33</v>
      </c>
      <c r="F15" s="57">
        <f>SUM(E15/D15)</f>
        <v>0.7369</v>
      </c>
    </row>
    <row r="16" spans="1:6" s="58" customFormat="1" ht="12.75" customHeight="1">
      <c r="A16" s="59"/>
      <c r="B16" s="66" t="s">
        <v>164</v>
      </c>
      <c r="C16" s="67" t="s">
        <v>199</v>
      </c>
      <c r="D16" s="68">
        <v>0</v>
      </c>
      <c r="E16" s="69">
        <v>491.85</v>
      </c>
      <c r="F16" s="64"/>
    </row>
    <row r="17" spans="1:6" s="75" customFormat="1" ht="26.25" customHeight="1">
      <c r="A17" s="584"/>
      <c r="B17" s="71" t="s">
        <v>133</v>
      </c>
      <c r="C17" s="72" t="s">
        <v>191</v>
      </c>
      <c r="D17" s="73">
        <v>1886000</v>
      </c>
      <c r="E17" s="74">
        <v>1886000</v>
      </c>
      <c r="F17" s="64">
        <f aca="true" t="shared" si="0" ref="F17:F80">SUM(E17/D17)</f>
        <v>1</v>
      </c>
    </row>
    <row r="18" spans="1:6" s="75" customFormat="1" ht="27" customHeight="1" thickBot="1">
      <c r="A18" s="584"/>
      <c r="B18" s="76" t="s">
        <v>130</v>
      </c>
      <c r="C18" s="77" t="s">
        <v>4</v>
      </c>
      <c r="D18" s="78">
        <v>8774444</v>
      </c>
      <c r="E18" s="79">
        <v>5968692.48</v>
      </c>
      <c r="F18" s="80">
        <f t="shared" si="0"/>
        <v>0.6802</v>
      </c>
    </row>
    <row r="19" spans="1:6" s="58" customFormat="1" ht="18.75" customHeight="1" thickBot="1">
      <c r="A19" s="65">
        <v>600</v>
      </c>
      <c r="B19" s="53"/>
      <c r="C19" s="54" t="s">
        <v>267</v>
      </c>
      <c r="D19" s="55">
        <f>SUM(D20:D24)</f>
        <v>912966</v>
      </c>
      <c r="E19" s="81">
        <f>SUM(E20:E24)</f>
        <v>275583.82</v>
      </c>
      <c r="F19" s="82">
        <f t="shared" si="0"/>
        <v>0.3019</v>
      </c>
    </row>
    <row r="20" spans="1:6" s="75" customFormat="1" ht="12">
      <c r="A20" s="83"/>
      <c r="B20" s="71" t="s">
        <v>181</v>
      </c>
      <c r="C20" s="84" t="s">
        <v>216</v>
      </c>
      <c r="D20" s="85">
        <f>35000</f>
        <v>35000</v>
      </c>
      <c r="E20" s="86">
        <f>8962.97</f>
        <v>8962.97</v>
      </c>
      <c r="F20" s="64">
        <f t="shared" si="0"/>
        <v>0.2561</v>
      </c>
    </row>
    <row r="21" spans="1:6" s="75" customFormat="1" ht="12.75" customHeight="1">
      <c r="A21" s="87"/>
      <c r="B21" s="71" t="s">
        <v>163</v>
      </c>
      <c r="C21" s="72" t="s">
        <v>206</v>
      </c>
      <c r="D21" s="73">
        <f>5</f>
        <v>5</v>
      </c>
      <c r="E21" s="74">
        <f>4.4</f>
        <v>4.4</v>
      </c>
      <c r="F21" s="64">
        <f t="shared" si="0"/>
        <v>0.88</v>
      </c>
    </row>
    <row r="22" spans="1:6" s="75" customFormat="1" ht="12.75" customHeight="1">
      <c r="A22" s="87"/>
      <c r="B22" s="71" t="s">
        <v>164</v>
      </c>
      <c r="C22" s="67" t="s">
        <v>199</v>
      </c>
      <c r="D22" s="73">
        <f>234</f>
        <v>234</v>
      </c>
      <c r="E22" s="74">
        <f>21616.45</f>
        <v>21616.45</v>
      </c>
      <c r="F22" s="64">
        <f t="shared" si="0"/>
        <v>92.378</v>
      </c>
    </row>
    <row r="23" spans="1:6" s="75" customFormat="1" ht="26.25" customHeight="1">
      <c r="A23" s="87"/>
      <c r="B23" s="71" t="s">
        <v>189</v>
      </c>
      <c r="C23" s="88" t="s">
        <v>197</v>
      </c>
      <c r="D23" s="73">
        <f>245000</f>
        <v>245000</v>
      </c>
      <c r="E23" s="74">
        <f>245000</f>
        <v>245000</v>
      </c>
      <c r="F23" s="64">
        <f t="shared" si="0"/>
        <v>1</v>
      </c>
    </row>
    <row r="24" spans="1:6" s="75" customFormat="1" ht="27" customHeight="1" thickBot="1">
      <c r="A24" s="70"/>
      <c r="B24" s="89" t="s">
        <v>130</v>
      </c>
      <c r="C24" s="77" t="s">
        <v>4</v>
      </c>
      <c r="D24" s="78">
        <f>632727</f>
        <v>632727</v>
      </c>
      <c r="E24" s="79">
        <f>0</f>
        <v>0</v>
      </c>
      <c r="F24" s="80">
        <f t="shared" si="0"/>
        <v>0</v>
      </c>
    </row>
    <row r="25" spans="1:6" s="58" customFormat="1" ht="18.75" customHeight="1" thickBot="1">
      <c r="A25" s="65">
        <v>630</v>
      </c>
      <c r="B25" s="53"/>
      <c r="C25" s="54" t="s">
        <v>268</v>
      </c>
      <c r="D25" s="55">
        <f>SUM(D26:D29)</f>
        <v>2400096</v>
      </c>
      <c r="E25" s="56">
        <f>SUM(E26:E29)</f>
        <v>2163608.75</v>
      </c>
      <c r="F25" s="82">
        <f t="shared" si="0"/>
        <v>0.9015</v>
      </c>
    </row>
    <row r="26" spans="1:6" s="75" customFormat="1" ht="12.75" customHeight="1">
      <c r="A26" s="87"/>
      <c r="B26" s="71" t="s">
        <v>222</v>
      </c>
      <c r="C26" s="72" t="s">
        <v>223</v>
      </c>
      <c r="D26" s="73">
        <v>17063</v>
      </c>
      <c r="E26" s="74">
        <v>17062.92</v>
      </c>
      <c r="F26" s="64">
        <f t="shared" si="0"/>
        <v>1</v>
      </c>
    </row>
    <row r="27" spans="1:6" s="75" customFormat="1" ht="12.75" customHeight="1">
      <c r="A27" s="87"/>
      <c r="B27" s="90" t="s">
        <v>164</v>
      </c>
      <c r="C27" s="67" t="s">
        <v>199</v>
      </c>
      <c r="D27" s="73">
        <f>6231</f>
        <v>6231</v>
      </c>
      <c r="E27" s="74">
        <f>5107</f>
        <v>5107</v>
      </c>
      <c r="F27" s="64">
        <f t="shared" si="0"/>
        <v>0.8196</v>
      </c>
    </row>
    <row r="28" spans="1:6" s="75" customFormat="1" ht="26.25" customHeight="1">
      <c r="A28" s="70"/>
      <c r="B28" s="90" t="s">
        <v>130</v>
      </c>
      <c r="C28" s="67" t="s">
        <v>5</v>
      </c>
      <c r="D28" s="91">
        <f>2196802</f>
        <v>2196802</v>
      </c>
      <c r="E28" s="92">
        <f>1961480.57</f>
        <v>1961480.57</v>
      </c>
      <c r="F28" s="64">
        <f t="shared" si="0"/>
        <v>0.8929</v>
      </c>
    </row>
    <row r="29" spans="1:6" s="75" customFormat="1" ht="27" customHeight="1" thickBot="1">
      <c r="A29" s="70"/>
      <c r="B29" s="76" t="s">
        <v>6</v>
      </c>
      <c r="C29" s="77" t="s">
        <v>7</v>
      </c>
      <c r="D29" s="78">
        <f>180000</f>
        <v>180000</v>
      </c>
      <c r="E29" s="93">
        <f>179958.26</f>
        <v>179958.26</v>
      </c>
      <c r="F29" s="80">
        <f t="shared" si="0"/>
        <v>0.9998</v>
      </c>
    </row>
    <row r="30" spans="1:6" s="94" customFormat="1" ht="18.75" customHeight="1" thickBot="1">
      <c r="A30" s="65">
        <v>700</v>
      </c>
      <c r="B30" s="53"/>
      <c r="C30" s="54" t="s">
        <v>269</v>
      </c>
      <c r="D30" s="55">
        <f>SUM(D31:D38)</f>
        <v>4335600</v>
      </c>
      <c r="E30" s="56">
        <f>SUM(E31:E38)</f>
        <v>4720841.79</v>
      </c>
      <c r="F30" s="82">
        <f t="shared" si="0"/>
        <v>1.0889</v>
      </c>
    </row>
    <row r="31" spans="1:6" s="96" customFormat="1" ht="12.75" customHeight="1">
      <c r="A31" s="70"/>
      <c r="B31" s="95" t="s">
        <v>162</v>
      </c>
      <c r="C31" s="72" t="s">
        <v>198</v>
      </c>
      <c r="D31" s="73">
        <f>85000</f>
        <v>85000</v>
      </c>
      <c r="E31" s="74">
        <f>70270.51</f>
        <v>70270.51</v>
      </c>
      <c r="F31" s="64">
        <f t="shared" si="0"/>
        <v>0.8267</v>
      </c>
    </row>
    <row r="32" spans="1:6" s="99" customFormat="1" ht="12.75" customHeight="1">
      <c r="A32" s="59"/>
      <c r="B32" s="97" t="s">
        <v>166</v>
      </c>
      <c r="C32" s="98" t="s">
        <v>201</v>
      </c>
      <c r="D32" s="85">
        <f>600</f>
        <v>600</v>
      </c>
      <c r="E32" s="86">
        <f>1288.44</f>
        <v>1288.44</v>
      </c>
      <c r="F32" s="64">
        <f t="shared" si="0"/>
        <v>2.1474</v>
      </c>
    </row>
    <row r="33" spans="1:6" s="96" customFormat="1" ht="43.5" customHeight="1">
      <c r="A33" s="70"/>
      <c r="B33" s="95" t="s">
        <v>188</v>
      </c>
      <c r="C33" s="72" t="s">
        <v>145</v>
      </c>
      <c r="D33" s="73">
        <f>3062000+396000</f>
        <v>3458000</v>
      </c>
      <c r="E33" s="74">
        <f>3062000+396000</f>
        <v>3458000</v>
      </c>
      <c r="F33" s="64">
        <f t="shared" si="0"/>
        <v>1</v>
      </c>
    </row>
    <row r="34" spans="1:6" s="96" customFormat="1" ht="12">
      <c r="A34" s="70"/>
      <c r="B34" s="95" t="s">
        <v>96</v>
      </c>
      <c r="C34" s="72" t="s">
        <v>97</v>
      </c>
      <c r="D34" s="73">
        <f>2000</f>
        <v>2000</v>
      </c>
      <c r="E34" s="74">
        <f>26016.54</f>
        <v>26016.54</v>
      </c>
      <c r="F34" s="64">
        <f t="shared" si="0"/>
        <v>13.0083</v>
      </c>
    </row>
    <row r="35" spans="1:6" s="96" customFormat="1" ht="12" customHeight="1">
      <c r="A35" s="70"/>
      <c r="B35" s="100" t="s">
        <v>135</v>
      </c>
      <c r="C35" s="67" t="s">
        <v>136</v>
      </c>
      <c r="D35" s="91">
        <f>680000</f>
        <v>680000</v>
      </c>
      <c r="E35" s="92">
        <f>1001452.4</f>
        <v>1001452.4</v>
      </c>
      <c r="F35" s="64">
        <f t="shared" si="0"/>
        <v>1.4727</v>
      </c>
    </row>
    <row r="36" spans="1:6" s="96" customFormat="1" ht="12.75" customHeight="1">
      <c r="A36" s="70"/>
      <c r="B36" s="100" t="s">
        <v>163</v>
      </c>
      <c r="C36" s="67" t="s">
        <v>206</v>
      </c>
      <c r="D36" s="91">
        <f>1000</f>
        <v>1000</v>
      </c>
      <c r="E36" s="92">
        <f>2414.3</f>
        <v>2414.3</v>
      </c>
      <c r="F36" s="64">
        <f t="shared" si="0"/>
        <v>2.4143</v>
      </c>
    </row>
    <row r="37" spans="1:6" s="96" customFormat="1" ht="14.25" customHeight="1">
      <c r="A37" s="70"/>
      <c r="B37" s="90" t="s">
        <v>164</v>
      </c>
      <c r="C37" s="67" t="s">
        <v>199</v>
      </c>
      <c r="D37" s="91">
        <f>4000+0</f>
        <v>4000</v>
      </c>
      <c r="E37" s="92">
        <f>9177+49489.67</f>
        <v>58666.67</v>
      </c>
      <c r="F37" s="64">
        <f t="shared" si="0"/>
        <v>14.6667</v>
      </c>
    </row>
    <row r="38" spans="1:6" s="99" customFormat="1" ht="27" customHeight="1" thickBot="1">
      <c r="A38" s="59"/>
      <c r="B38" s="101" t="s">
        <v>161</v>
      </c>
      <c r="C38" s="102" t="s">
        <v>191</v>
      </c>
      <c r="D38" s="103">
        <f>105000</f>
        <v>105000</v>
      </c>
      <c r="E38" s="104">
        <f>102732.93</f>
        <v>102732.93</v>
      </c>
      <c r="F38" s="80">
        <f t="shared" si="0"/>
        <v>0.9784</v>
      </c>
    </row>
    <row r="39" spans="1:6" s="58" customFormat="1" ht="18.75" customHeight="1" thickBot="1">
      <c r="A39" s="65">
        <v>710</v>
      </c>
      <c r="B39" s="53"/>
      <c r="C39" s="54" t="s">
        <v>2</v>
      </c>
      <c r="D39" s="55">
        <f>SUM(D40:D43)</f>
        <v>3110</v>
      </c>
      <c r="E39" s="56">
        <f>SUM(E40:E43)</f>
        <v>53785.18</v>
      </c>
      <c r="F39" s="82">
        <f t="shared" si="0"/>
        <v>17.2943</v>
      </c>
    </row>
    <row r="40" spans="1:6" s="75" customFormat="1" ht="12.75" customHeight="1">
      <c r="A40" s="70"/>
      <c r="B40" s="76" t="s">
        <v>222</v>
      </c>
      <c r="C40" s="72" t="s">
        <v>223</v>
      </c>
      <c r="D40" s="78">
        <f>2910</f>
        <v>2910</v>
      </c>
      <c r="E40" s="79">
        <f>8221.3</f>
        <v>8221.3</v>
      </c>
      <c r="F40" s="64">
        <f t="shared" si="0"/>
        <v>2.8252</v>
      </c>
    </row>
    <row r="41" spans="1:6" s="75" customFormat="1" ht="12.75" customHeight="1">
      <c r="A41" s="70"/>
      <c r="B41" s="90" t="s">
        <v>166</v>
      </c>
      <c r="C41" s="67" t="s">
        <v>201</v>
      </c>
      <c r="D41" s="91">
        <f>200</f>
        <v>200</v>
      </c>
      <c r="E41" s="92">
        <f>200</f>
        <v>200</v>
      </c>
      <c r="F41" s="105">
        <f t="shared" si="0"/>
        <v>1</v>
      </c>
    </row>
    <row r="42" spans="1:6" s="75" customFormat="1" ht="12.75" customHeight="1">
      <c r="A42" s="70"/>
      <c r="B42" s="90" t="s">
        <v>163</v>
      </c>
      <c r="C42" s="72" t="s">
        <v>206</v>
      </c>
      <c r="D42" s="91">
        <v>0</v>
      </c>
      <c r="E42" s="106">
        <f>5199.08</f>
        <v>5199.08</v>
      </c>
      <c r="F42" s="105"/>
    </row>
    <row r="43" spans="1:6" s="75" customFormat="1" ht="12.75" customHeight="1" thickBot="1">
      <c r="A43" s="70"/>
      <c r="B43" s="76" t="s">
        <v>164</v>
      </c>
      <c r="C43" s="77" t="s">
        <v>199</v>
      </c>
      <c r="D43" s="78">
        <v>0</v>
      </c>
      <c r="E43" s="93">
        <f>40164.8</f>
        <v>40164.8</v>
      </c>
      <c r="F43" s="105"/>
    </row>
    <row r="44" spans="1:6" s="58" customFormat="1" ht="18.75" customHeight="1" thickBot="1">
      <c r="A44" s="65">
        <v>750</v>
      </c>
      <c r="B44" s="53"/>
      <c r="C44" s="54" t="s">
        <v>270</v>
      </c>
      <c r="D44" s="55">
        <f>SUM(D45:D52)</f>
        <v>747014</v>
      </c>
      <c r="E44" s="56">
        <f>SUM(E45:E52)</f>
        <v>314677</v>
      </c>
      <c r="F44" s="82">
        <f t="shared" si="0"/>
        <v>0.4212</v>
      </c>
    </row>
    <row r="45" spans="1:6" s="58" customFormat="1" ht="12.75" customHeight="1">
      <c r="A45" s="59"/>
      <c r="B45" s="107" t="s">
        <v>166</v>
      </c>
      <c r="C45" s="72" t="s">
        <v>201</v>
      </c>
      <c r="D45" s="85">
        <f>0</f>
        <v>0</v>
      </c>
      <c r="E45" s="108">
        <f>346.5</f>
        <v>346.5</v>
      </c>
      <c r="F45" s="64"/>
    </row>
    <row r="46" spans="1:6" s="75" customFormat="1" ht="12.75" customHeight="1">
      <c r="A46" s="70"/>
      <c r="B46" s="71" t="s">
        <v>186</v>
      </c>
      <c r="C46" s="109" t="s">
        <v>204</v>
      </c>
      <c r="D46" s="73">
        <f>65</f>
        <v>65</v>
      </c>
      <c r="E46" s="74">
        <f>64.42</f>
        <v>64.42</v>
      </c>
      <c r="F46" s="64">
        <f t="shared" si="0"/>
        <v>0.9911</v>
      </c>
    </row>
    <row r="47" spans="1:6" s="75" customFormat="1" ht="12.75" customHeight="1">
      <c r="A47" s="70"/>
      <c r="B47" s="90" t="s">
        <v>163</v>
      </c>
      <c r="C47" s="72" t="s">
        <v>206</v>
      </c>
      <c r="D47" s="91">
        <f>16</f>
        <v>16</v>
      </c>
      <c r="E47" s="92">
        <f>15.58</f>
        <v>15.58</v>
      </c>
      <c r="F47" s="64">
        <f t="shared" si="0"/>
        <v>0.9738</v>
      </c>
    </row>
    <row r="48" spans="1:6" s="75" customFormat="1" ht="12.75" customHeight="1">
      <c r="A48" s="70"/>
      <c r="B48" s="76" t="s">
        <v>164</v>
      </c>
      <c r="C48" s="77" t="s">
        <v>199</v>
      </c>
      <c r="D48" s="78">
        <f>1600</f>
        <v>1600</v>
      </c>
      <c r="E48" s="79">
        <f>2775.58</f>
        <v>2775.58</v>
      </c>
      <c r="F48" s="64">
        <f t="shared" si="0"/>
        <v>1.7347</v>
      </c>
    </row>
    <row r="49" spans="1:6" s="75" customFormat="1" ht="12.75" customHeight="1">
      <c r="A49" s="70"/>
      <c r="B49" s="110" t="s">
        <v>8</v>
      </c>
      <c r="C49" s="61" t="s">
        <v>199</v>
      </c>
      <c r="D49" s="111">
        <f>32000</f>
        <v>32000</v>
      </c>
      <c r="E49" s="112">
        <f>8775</f>
        <v>8775</v>
      </c>
      <c r="F49" s="64">
        <f t="shared" si="0"/>
        <v>0.2742</v>
      </c>
    </row>
    <row r="50" spans="1:6" s="75" customFormat="1" ht="26.25" customHeight="1">
      <c r="A50" s="70"/>
      <c r="B50" s="110" t="s">
        <v>167</v>
      </c>
      <c r="C50" s="61" t="s">
        <v>100</v>
      </c>
      <c r="D50" s="111">
        <f>293000</f>
        <v>293000</v>
      </c>
      <c r="E50" s="112">
        <f>293000</f>
        <v>293000</v>
      </c>
      <c r="F50" s="64">
        <f t="shared" si="0"/>
        <v>1</v>
      </c>
    </row>
    <row r="51" spans="1:6" s="75" customFormat="1" ht="27" customHeight="1">
      <c r="A51" s="70"/>
      <c r="B51" s="90" t="s">
        <v>98</v>
      </c>
      <c r="C51" s="67" t="s">
        <v>99</v>
      </c>
      <c r="D51" s="91">
        <f>9000</f>
        <v>9000</v>
      </c>
      <c r="E51" s="92">
        <f>9699.92</f>
        <v>9699.92</v>
      </c>
      <c r="F51" s="64">
        <f t="shared" si="0"/>
        <v>1.0778</v>
      </c>
    </row>
    <row r="52" spans="1:6" s="75" customFormat="1" ht="27" customHeight="1" thickBot="1">
      <c r="A52" s="70"/>
      <c r="B52" s="76" t="s">
        <v>9</v>
      </c>
      <c r="C52" s="77" t="s">
        <v>258</v>
      </c>
      <c r="D52" s="78">
        <f>168830+242503</f>
        <v>411333</v>
      </c>
      <c r="E52" s="79">
        <f>0+0</f>
        <v>0</v>
      </c>
      <c r="F52" s="80">
        <f t="shared" si="0"/>
        <v>0</v>
      </c>
    </row>
    <row r="53" spans="1:6" s="58" customFormat="1" ht="12.75" thickBot="1">
      <c r="A53" s="65">
        <v>751</v>
      </c>
      <c r="B53" s="53"/>
      <c r="C53" s="54" t="s">
        <v>194</v>
      </c>
      <c r="D53" s="55">
        <f>SUM(D54)</f>
        <v>71314</v>
      </c>
      <c r="E53" s="113">
        <f>SUM(E54)</f>
        <v>70437.13</v>
      </c>
      <c r="F53" s="82">
        <f t="shared" si="0"/>
        <v>0.9877</v>
      </c>
    </row>
    <row r="54" spans="1:6" s="75" customFormat="1" ht="27" customHeight="1" thickBot="1">
      <c r="A54" s="70"/>
      <c r="B54" s="89" t="s">
        <v>167</v>
      </c>
      <c r="C54" s="77" t="s">
        <v>100</v>
      </c>
      <c r="D54" s="78">
        <f>6564+64750</f>
        <v>71314</v>
      </c>
      <c r="E54" s="79">
        <f>6562.13+63875</f>
        <v>70437.13</v>
      </c>
      <c r="F54" s="80">
        <f t="shared" si="0"/>
        <v>0.9877</v>
      </c>
    </row>
    <row r="55" spans="1:6" s="58" customFormat="1" ht="18.75" customHeight="1" thickBot="1">
      <c r="A55" s="65">
        <v>754</v>
      </c>
      <c r="B55" s="53"/>
      <c r="C55" s="54" t="s">
        <v>195</v>
      </c>
      <c r="D55" s="55">
        <f>SUM(D56:D58)</f>
        <v>30031</v>
      </c>
      <c r="E55" s="56">
        <f>SUM(E56:E58)</f>
        <v>39089.2</v>
      </c>
      <c r="F55" s="82">
        <f t="shared" si="0"/>
        <v>1.3016</v>
      </c>
    </row>
    <row r="56" spans="1:6" s="75" customFormat="1" ht="12.75" customHeight="1">
      <c r="A56" s="70"/>
      <c r="B56" s="95" t="s">
        <v>168</v>
      </c>
      <c r="C56" s="72" t="s">
        <v>10</v>
      </c>
      <c r="D56" s="73">
        <f>20000</f>
        <v>20000</v>
      </c>
      <c r="E56" s="74">
        <f>29058.2</f>
        <v>29058.2</v>
      </c>
      <c r="F56" s="64">
        <f t="shared" si="0"/>
        <v>1.4529</v>
      </c>
    </row>
    <row r="57" spans="1:6" s="75" customFormat="1" ht="12.75" customHeight="1">
      <c r="A57" s="70"/>
      <c r="B57" s="90" t="s">
        <v>164</v>
      </c>
      <c r="C57" s="77" t="s">
        <v>199</v>
      </c>
      <c r="D57" s="91">
        <f>24+7</f>
        <v>31</v>
      </c>
      <c r="E57" s="92">
        <f>24+7</f>
        <v>31</v>
      </c>
      <c r="F57" s="64">
        <f t="shared" si="0"/>
        <v>1</v>
      </c>
    </row>
    <row r="58" spans="1:6" s="75" customFormat="1" ht="27" customHeight="1" thickBot="1">
      <c r="A58" s="114"/>
      <c r="B58" s="115" t="s">
        <v>256</v>
      </c>
      <c r="C58" s="116" t="s">
        <v>258</v>
      </c>
      <c r="D58" s="117">
        <f>10000</f>
        <v>10000</v>
      </c>
      <c r="E58" s="118">
        <f>10000</f>
        <v>10000</v>
      </c>
      <c r="F58" s="119">
        <f t="shared" si="0"/>
        <v>1</v>
      </c>
    </row>
    <row r="59" spans="1:6" s="75" customFormat="1" ht="10.5" customHeight="1" thickBot="1">
      <c r="A59" s="503">
        <v>1</v>
      </c>
      <c r="B59" s="504" t="s">
        <v>193</v>
      </c>
      <c r="C59" s="505">
        <v>3</v>
      </c>
      <c r="D59" s="506" t="s">
        <v>11</v>
      </c>
      <c r="E59" s="504">
        <v>5</v>
      </c>
      <c r="F59" s="507">
        <v>6</v>
      </c>
    </row>
    <row r="60" spans="1:6" s="58" customFormat="1" ht="24.75" thickBot="1">
      <c r="A60" s="65">
        <v>756</v>
      </c>
      <c r="B60" s="53"/>
      <c r="C60" s="54" t="s">
        <v>101</v>
      </c>
      <c r="D60" s="55">
        <f>SUM(D61:D81)</f>
        <v>52843171</v>
      </c>
      <c r="E60" s="56">
        <f>SUM(E61:E81)</f>
        <v>56779218.18</v>
      </c>
      <c r="F60" s="82">
        <f t="shared" si="0"/>
        <v>1.0745</v>
      </c>
    </row>
    <row r="61" spans="1:6" s="75" customFormat="1" ht="12.75" customHeight="1">
      <c r="A61" s="70"/>
      <c r="B61" s="95" t="s">
        <v>176</v>
      </c>
      <c r="C61" s="72" t="s">
        <v>202</v>
      </c>
      <c r="D61" s="73">
        <f>14380000</f>
        <v>14380000</v>
      </c>
      <c r="E61" s="74">
        <f>16717369</f>
        <v>16717369</v>
      </c>
      <c r="F61" s="64">
        <f t="shared" si="0"/>
        <v>1.1625</v>
      </c>
    </row>
    <row r="62" spans="1:6" s="75" customFormat="1" ht="12.75" customHeight="1">
      <c r="A62" s="70"/>
      <c r="B62" s="100" t="s">
        <v>177</v>
      </c>
      <c r="C62" s="67" t="s">
        <v>203</v>
      </c>
      <c r="D62" s="91">
        <f>651640</f>
        <v>651640</v>
      </c>
      <c r="E62" s="92">
        <f>427366.34</f>
        <v>427366.34</v>
      </c>
      <c r="F62" s="64">
        <f t="shared" si="0"/>
        <v>0.6558</v>
      </c>
    </row>
    <row r="63" spans="1:6" s="75" customFormat="1" ht="12.75" customHeight="1">
      <c r="A63" s="87"/>
      <c r="B63" s="90" t="s">
        <v>169</v>
      </c>
      <c r="C63" s="67" t="s">
        <v>207</v>
      </c>
      <c r="D63" s="91">
        <f>33000000+1900000</f>
        <v>34900000</v>
      </c>
      <c r="E63" s="92">
        <f>33881223.14+2200505.05</f>
        <v>36081728.19</v>
      </c>
      <c r="F63" s="105">
        <f t="shared" si="0"/>
        <v>1.0339</v>
      </c>
    </row>
    <row r="64" spans="1:6" s="75" customFormat="1" ht="12.75" customHeight="1">
      <c r="A64" s="70"/>
      <c r="B64" s="95" t="s">
        <v>170</v>
      </c>
      <c r="C64" s="72" t="s">
        <v>208</v>
      </c>
      <c r="D64" s="73">
        <f>23000+100000</f>
        <v>123000</v>
      </c>
      <c r="E64" s="74">
        <f>24525.07+102112.44</f>
        <v>126637.51</v>
      </c>
      <c r="F64" s="64">
        <f t="shared" si="0"/>
        <v>1.0296</v>
      </c>
    </row>
    <row r="65" spans="1:6" s="75" customFormat="1" ht="12.75" customHeight="1">
      <c r="A65" s="70"/>
      <c r="B65" s="100" t="s">
        <v>171</v>
      </c>
      <c r="C65" s="67" t="s">
        <v>209</v>
      </c>
      <c r="D65" s="91">
        <f>158500+400</f>
        <v>158900</v>
      </c>
      <c r="E65" s="92">
        <f>164735.7+492.48</f>
        <v>165228.18</v>
      </c>
      <c r="F65" s="64">
        <f t="shared" si="0"/>
        <v>1.0398</v>
      </c>
    </row>
    <row r="66" spans="1:6" s="75" customFormat="1" ht="12.75" customHeight="1">
      <c r="A66" s="70"/>
      <c r="B66" s="100" t="s">
        <v>172</v>
      </c>
      <c r="C66" s="67" t="s">
        <v>210</v>
      </c>
      <c r="D66" s="91">
        <f>195000+185000</f>
        <v>380000</v>
      </c>
      <c r="E66" s="92">
        <f>169429.2+169785.34</f>
        <v>339214.54</v>
      </c>
      <c r="F66" s="64">
        <f t="shared" si="0"/>
        <v>0.8927</v>
      </c>
    </row>
    <row r="67" spans="1:6" s="75" customFormat="1" ht="26.25" customHeight="1">
      <c r="A67" s="70"/>
      <c r="B67" s="95" t="s">
        <v>173</v>
      </c>
      <c r="C67" s="72" t="s">
        <v>211</v>
      </c>
      <c r="D67" s="73">
        <f>200000</f>
        <v>200000</v>
      </c>
      <c r="E67" s="74">
        <f>168827.86</f>
        <v>168827.86</v>
      </c>
      <c r="F67" s="64">
        <f t="shared" si="0"/>
        <v>0.8441</v>
      </c>
    </row>
    <row r="68" spans="1:6" s="75" customFormat="1" ht="12.75" customHeight="1">
      <c r="A68" s="70"/>
      <c r="B68" s="100" t="s">
        <v>174</v>
      </c>
      <c r="C68" s="67" t="s">
        <v>212</v>
      </c>
      <c r="D68" s="91">
        <f>90000</f>
        <v>90000</v>
      </c>
      <c r="E68" s="92">
        <f>109776.12</f>
        <v>109776.12</v>
      </c>
      <c r="F68" s="64">
        <f t="shared" si="0"/>
        <v>1.2197</v>
      </c>
    </row>
    <row r="69" spans="1:6" s="75" customFormat="1" ht="12.75" customHeight="1">
      <c r="A69" s="70"/>
      <c r="B69" s="100" t="s">
        <v>175</v>
      </c>
      <c r="C69" s="67" t="s">
        <v>213</v>
      </c>
      <c r="D69" s="91">
        <f>68000</f>
        <v>68000</v>
      </c>
      <c r="E69" s="92">
        <f>69023.87</f>
        <v>69023.87</v>
      </c>
      <c r="F69" s="64">
        <f t="shared" si="0"/>
        <v>1.0151</v>
      </c>
    </row>
    <row r="70" spans="1:6" s="75" customFormat="1" ht="12.75" customHeight="1">
      <c r="A70" s="70"/>
      <c r="B70" s="100" t="s">
        <v>178</v>
      </c>
      <c r="C70" s="67" t="s">
        <v>214</v>
      </c>
      <c r="D70" s="91">
        <f>200000</f>
        <v>200000</v>
      </c>
      <c r="E70" s="92">
        <f>465411.39</f>
        <v>465411.39</v>
      </c>
      <c r="F70" s="64">
        <f t="shared" si="0"/>
        <v>2.3271</v>
      </c>
    </row>
    <row r="71" spans="1:6" s="75" customFormat="1" ht="12.75" customHeight="1">
      <c r="A71" s="70"/>
      <c r="B71" s="100" t="s">
        <v>179</v>
      </c>
      <c r="C71" s="67" t="s">
        <v>215</v>
      </c>
      <c r="D71" s="91">
        <f>51000</f>
        <v>51000</v>
      </c>
      <c r="E71" s="92">
        <f>108564.7</f>
        <v>108564.7</v>
      </c>
      <c r="F71" s="64">
        <f t="shared" si="0"/>
        <v>2.1287</v>
      </c>
    </row>
    <row r="72" spans="1:6" s="75" customFormat="1" ht="12.75" customHeight="1">
      <c r="A72" s="70"/>
      <c r="B72" s="100" t="s">
        <v>137</v>
      </c>
      <c r="C72" s="67" t="s">
        <v>143</v>
      </c>
      <c r="D72" s="91">
        <f>1750+5100</f>
        <v>6850</v>
      </c>
      <c r="E72" s="92">
        <f>2054+8306</f>
        <v>10360</v>
      </c>
      <c r="F72" s="64">
        <f t="shared" si="0"/>
        <v>1.5124</v>
      </c>
    </row>
    <row r="73" spans="1:6" s="75" customFormat="1" ht="12.75" customHeight="1">
      <c r="A73" s="70"/>
      <c r="B73" s="100" t="s">
        <v>12</v>
      </c>
      <c r="C73" s="67" t="s">
        <v>13</v>
      </c>
      <c r="D73" s="91">
        <v>0</v>
      </c>
      <c r="E73" s="92">
        <v>527.51</v>
      </c>
      <c r="F73" s="64"/>
    </row>
    <row r="74" spans="1:6" s="75" customFormat="1" ht="12.75" customHeight="1">
      <c r="A74" s="70"/>
      <c r="B74" s="100" t="s">
        <v>180</v>
      </c>
      <c r="C74" s="67" t="s">
        <v>14</v>
      </c>
      <c r="D74" s="91">
        <f>524000</f>
        <v>524000</v>
      </c>
      <c r="E74" s="92">
        <f>542040.61</f>
        <v>542040.61</v>
      </c>
      <c r="F74" s="64">
        <f t="shared" si="0"/>
        <v>1.0344</v>
      </c>
    </row>
    <row r="75" spans="1:6" s="75" customFormat="1" ht="12.75" customHeight="1">
      <c r="A75" s="70"/>
      <c r="B75" s="100" t="s">
        <v>182</v>
      </c>
      <c r="C75" s="67" t="s">
        <v>217</v>
      </c>
      <c r="D75" s="91">
        <f>50000+650000</f>
        <v>700000</v>
      </c>
      <c r="E75" s="92">
        <f>16264.12+930134.87</f>
        <v>946398.99</v>
      </c>
      <c r="F75" s="64">
        <f t="shared" si="0"/>
        <v>1.352</v>
      </c>
    </row>
    <row r="76" spans="1:6" s="75" customFormat="1" ht="12.75" customHeight="1">
      <c r="A76" s="70"/>
      <c r="B76" s="100" t="s">
        <v>183</v>
      </c>
      <c r="C76" s="67" t="s">
        <v>219</v>
      </c>
      <c r="D76" s="91">
        <f>0+500</f>
        <v>500</v>
      </c>
      <c r="E76" s="92">
        <f>0+1476.59</f>
        <v>1476.59</v>
      </c>
      <c r="F76" s="64">
        <f t="shared" si="0"/>
        <v>2.9532</v>
      </c>
    </row>
    <row r="77" spans="1:6" s="75" customFormat="1" ht="12.75" customHeight="1">
      <c r="A77" s="70"/>
      <c r="B77" s="100" t="s">
        <v>165</v>
      </c>
      <c r="C77" s="67" t="s">
        <v>200</v>
      </c>
      <c r="D77" s="91">
        <f>1800</f>
        <v>1800</v>
      </c>
      <c r="E77" s="92">
        <f>2876</f>
        <v>2876</v>
      </c>
      <c r="F77" s="64">
        <f t="shared" si="0"/>
        <v>1.5978</v>
      </c>
    </row>
    <row r="78" spans="1:6" s="75" customFormat="1" ht="12.75" customHeight="1">
      <c r="A78" s="70"/>
      <c r="B78" s="71" t="s">
        <v>166</v>
      </c>
      <c r="C78" s="72" t="s">
        <v>201</v>
      </c>
      <c r="D78" s="73">
        <f>300+7500+66000</f>
        <v>73800</v>
      </c>
      <c r="E78" s="74">
        <f>730.63+17676.9+77050</f>
        <v>95457.53</v>
      </c>
      <c r="F78" s="64">
        <f t="shared" si="0"/>
        <v>1.2935</v>
      </c>
    </row>
    <row r="79" spans="1:6" s="75" customFormat="1" ht="12.75" customHeight="1">
      <c r="A79" s="70"/>
      <c r="B79" s="90" t="s">
        <v>184</v>
      </c>
      <c r="C79" s="67" t="s">
        <v>218</v>
      </c>
      <c r="D79" s="91">
        <f>31700+39500+3802+2551</f>
        <v>77553</v>
      </c>
      <c r="E79" s="92">
        <f>85286.92+48721.62+3802+4642.59</f>
        <v>142453.13</v>
      </c>
      <c r="F79" s="64">
        <f t="shared" si="0"/>
        <v>1.8368</v>
      </c>
    </row>
    <row r="80" spans="1:6" s="75" customFormat="1" ht="12">
      <c r="A80" s="70"/>
      <c r="B80" s="90" t="s">
        <v>164</v>
      </c>
      <c r="C80" s="67" t="s">
        <v>199</v>
      </c>
      <c r="D80" s="91">
        <f>794+1500+300</f>
        <v>2594</v>
      </c>
      <c r="E80" s="92">
        <f>3193.4+1113.42+554.3</f>
        <v>4861.12</v>
      </c>
      <c r="F80" s="64">
        <f t="shared" si="0"/>
        <v>1.874</v>
      </c>
    </row>
    <row r="81" spans="1:6" s="75" customFormat="1" ht="12.75" thickBot="1">
      <c r="A81" s="114"/>
      <c r="B81" s="120" t="s">
        <v>15</v>
      </c>
      <c r="C81" s="121" t="s">
        <v>16</v>
      </c>
      <c r="D81" s="122">
        <f>253534</f>
        <v>253534</v>
      </c>
      <c r="E81" s="123">
        <f>253619</f>
        <v>253619</v>
      </c>
      <c r="F81" s="119">
        <f aca="true" t="shared" si="1" ref="F81:F132">SUM(E81/D81)</f>
        <v>1.0003</v>
      </c>
    </row>
    <row r="82" spans="1:6" s="58" customFormat="1" ht="18.75" customHeight="1" thickBot="1">
      <c r="A82" s="65">
        <v>758</v>
      </c>
      <c r="B82" s="53"/>
      <c r="C82" s="54" t="s">
        <v>286</v>
      </c>
      <c r="D82" s="55">
        <f>SUM(D83:D84)</f>
        <v>14430925</v>
      </c>
      <c r="E82" s="113">
        <f>SUM(E83:E84)</f>
        <v>14413304.42</v>
      </c>
      <c r="F82" s="82">
        <f t="shared" si="1"/>
        <v>0.9988</v>
      </c>
    </row>
    <row r="83" spans="1:6" s="75" customFormat="1" ht="12.75" customHeight="1">
      <c r="A83" s="59"/>
      <c r="B83" s="97" t="s">
        <v>163</v>
      </c>
      <c r="C83" s="72" t="s">
        <v>206</v>
      </c>
      <c r="D83" s="85">
        <f>200000</f>
        <v>200000</v>
      </c>
      <c r="E83" s="86">
        <f>182379.42</f>
        <v>182379.42</v>
      </c>
      <c r="F83" s="64">
        <f t="shared" si="1"/>
        <v>0.9119</v>
      </c>
    </row>
    <row r="84" spans="1:6" s="75" customFormat="1" ht="12.75" thickBot="1">
      <c r="A84" s="70"/>
      <c r="B84" s="76" t="s">
        <v>185</v>
      </c>
      <c r="C84" s="77" t="s">
        <v>231</v>
      </c>
      <c r="D84" s="78">
        <f>13735470+495455</f>
        <v>14230925</v>
      </c>
      <c r="E84" s="79">
        <f>13735470+495455</f>
        <v>14230925</v>
      </c>
      <c r="F84" s="80">
        <f t="shared" si="1"/>
        <v>1</v>
      </c>
    </row>
    <row r="85" spans="1:6" s="58" customFormat="1" ht="18.75" customHeight="1" thickBot="1">
      <c r="A85" s="65">
        <v>801</v>
      </c>
      <c r="B85" s="53"/>
      <c r="C85" s="54" t="s">
        <v>287</v>
      </c>
      <c r="D85" s="55">
        <f>SUM(D86:D93)</f>
        <v>699402</v>
      </c>
      <c r="E85" s="56">
        <f>SUM(E86:E93)</f>
        <v>672907.61</v>
      </c>
      <c r="F85" s="82">
        <f t="shared" si="1"/>
        <v>0.9621</v>
      </c>
    </row>
    <row r="86" spans="1:6" s="75" customFormat="1" ht="37.5" customHeight="1">
      <c r="A86" s="124"/>
      <c r="B86" s="71" t="s">
        <v>188</v>
      </c>
      <c r="C86" s="72" t="s">
        <v>145</v>
      </c>
      <c r="D86" s="73">
        <f>128203+12770+34400</f>
        <v>175373</v>
      </c>
      <c r="E86" s="74">
        <f>120827.53+9949.34+16966.98</f>
        <v>147743.85</v>
      </c>
      <c r="F86" s="64">
        <f t="shared" si="1"/>
        <v>0.8425</v>
      </c>
    </row>
    <row r="87" spans="1:6" s="75" customFormat="1" ht="27" customHeight="1">
      <c r="A87" s="124"/>
      <c r="B87" s="71" t="s">
        <v>150</v>
      </c>
      <c r="C87" s="61" t="s">
        <v>126</v>
      </c>
      <c r="D87" s="73">
        <f>28532+113206</f>
        <v>141738</v>
      </c>
      <c r="E87" s="74">
        <f>28531.42+113206</f>
        <v>141737.42</v>
      </c>
      <c r="F87" s="64">
        <f t="shared" si="1"/>
        <v>1</v>
      </c>
    </row>
    <row r="88" spans="1:6" s="75" customFormat="1" ht="27" customHeight="1">
      <c r="A88" s="124"/>
      <c r="B88" s="90" t="s">
        <v>129</v>
      </c>
      <c r="C88" s="67" t="s">
        <v>134</v>
      </c>
      <c r="D88" s="91">
        <f>9233+0</f>
        <v>9233</v>
      </c>
      <c r="E88" s="92">
        <f>9233.06+5598.66</f>
        <v>14831.72</v>
      </c>
      <c r="F88" s="64">
        <f>SUM(E88/D88)</f>
        <v>1.6064</v>
      </c>
    </row>
    <row r="89" spans="1:6" s="75" customFormat="1" ht="27" customHeight="1">
      <c r="A89" s="124"/>
      <c r="B89" s="90" t="s">
        <v>141</v>
      </c>
      <c r="C89" s="67" t="s">
        <v>258</v>
      </c>
      <c r="D89" s="91">
        <f>14976+10483</f>
        <v>25459</v>
      </c>
      <c r="E89" s="92">
        <f>14976+11783</f>
        <v>26759</v>
      </c>
      <c r="F89" s="64">
        <f t="shared" si="1"/>
        <v>1.0511</v>
      </c>
    </row>
    <row r="90" spans="1:6" s="75" customFormat="1" ht="27" customHeight="1">
      <c r="A90" s="124"/>
      <c r="B90" s="90" t="s">
        <v>17</v>
      </c>
      <c r="C90" s="67" t="s">
        <v>18</v>
      </c>
      <c r="D90" s="91">
        <v>10000</v>
      </c>
      <c r="E90" s="92">
        <v>10000</v>
      </c>
      <c r="F90" s="64">
        <f t="shared" si="1"/>
        <v>1</v>
      </c>
    </row>
    <row r="91" spans="1:6" s="75" customFormat="1" ht="27" customHeight="1">
      <c r="A91" s="124"/>
      <c r="B91" s="90" t="s">
        <v>140</v>
      </c>
      <c r="C91" s="67" t="s">
        <v>142</v>
      </c>
      <c r="D91" s="91">
        <f>5599</f>
        <v>5599</v>
      </c>
      <c r="E91" s="92">
        <f>0</f>
        <v>0</v>
      </c>
      <c r="F91" s="64">
        <f t="shared" si="1"/>
        <v>0</v>
      </c>
    </row>
    <row r="92" spans="1:6" s="75" customFormat="1" ht="27" customHeight="1">
      <c r="A92" s="125"/>
      <c r="B92" s="100" t="s">
        <v>161</v>
      </c>
      <c r="C92" s="67" t="s">
        <v>191</v>
      </c>
      <c r="D92" s="91">
        <f>130000+30000+22000</f>
        <v>182000</v>
      </c>
      <c r="E92" s="92">
        <f>130000+30000+21835.62</f>
        <v>181835.62</v>
      </c>
      <c r="F92" s="64">
        <f t="shared" si="1"/>
        <v>0.9991</v>
      </c>
    </row>
    <row r="93" spans="1:6" s="75" customFormat="1" ht="27" customHeight="1" thickBot="1">
      <c r="A93" s="125"/>
      <c r="B93" s="76" t="s">
        <v>6</v>
      </c>
      <c r="C93" s="77" t="s">
        <v>7</v>
      </c>
      <c r="D93" s="78">
        <f>150000</f>
        <v>150000</v>
      </c>
      <c r="E93" s="93">
        <f>150000</f>
        <v>150000</v>
      </c>
      <c r="F93" s="80">
        <f t="shared" si="1"/>
        <v>1</v>
      </c>
    </row>
    <row r="94" spans="1:6" s="58" customFormat="1" ht="18.75" customHeight="1" thickBot="1">
      <c r="A94" s="65">
        <v>851</v>
      </c>
      <c r="B94" s="53"/>
      <c r="C94" s="54" t="s">
        <v>288</v>
      </c>
      <c r="D94" s="55">
        <f>SUM(D95:D99)</f>
        <v>12183</v>
      </c>
      <c r="E94" s="56">
        <f>SUM(E95:E99)</f>
        <v>12437.63</v>
      </c>
      <c r="F94" s="82">
        <f t="shared" si="1"/>
        <v>1.0209</v>
      </c>
    </row>
    <row r="95" spans="1:6" s="75" customFormat="1" ht="39" customHeight="1">
      <c r="A95" s="584"/>
      <c r="B95" s="71" t="s">
        <v>188</v>
      </c>
      <c r="C95" s="72" t="s">
        <v>145</v>
      </c>
      <c r="D95" s="73">
        <f>1735</f>
        <v>1735</v>
      </c>
      <c r="E95" s="74">
        <f>1313.09</f>
        <v>1313.09</v>
      </c>
      <c r="F95" s="64">
        <f t="shared" si="1"/>
        <v>0.7568</v>
      </c>
    </row>
    <row r="96" spans="1:6" s="75" customFormat="1" ht="12">
      <c r="A96" s="584"/>
      <c r="B96" s="90" t="s">
        <v>163</v>
      </c>
      <c r="C96" s="67" t="s">
        <v>206</v>
      </c>
      <c r="D96" s="91">
        <f>8248</f>
        <v>8248</v>
      </c>
      <c r="E96" s="92">
        <f>7984.54</f>
        <v>7984.54</v>
      </c>
      <c r="F96" s="64">
        <f t="shared" si="1"/>
        <v>0.9681</v>
      </c>
    </row>
    <row r="97" spans="1:6" s="75" customFormat="1" ht="12" customHeight="1">
      <c r="A97" s="584"/>
      <c r="B97" s="90" t="s">
        <v>164</v>
      </c>
      <c r="C97" s="67" t="s">
        <v>199</v>
      </c>
      <c r="D97" s="91">
        <f>200</f>
        <v>200</v>
      </c>
      <c r="E97" s="92">
        <f>1140</f>
        <v>1140</v>
      </c>
      <c r="F97" s="64">
        <f t="shared" si="1"/>
        <v>5.7</v>
      </c>
    </row>
    <row r="98" spans="1:6" s="75" customFormat="1" ht="27" customHeight="1">
      <c r="A98" s="70"/>
      <c r="B98" s="90" t="s">
        <v>167</v>
      </c>
      <c r="C98" s="67" t="s">
        <v>100</v>
      </c>
      <c r="D98" s="91">
        <f>1800</f>
        <v>1800</v>
      </c>
      <c r="E98" s="106">
        <f>1800</f>
        <v>1800</v>
      </c>
      <c r="F98" s="64">
        <f t="shared" si="1"/>
        <v>1</v>
      </c>
    </row>
    <row r="99" spans="1:6" s="75" customFormat="1" ht="27" customHeight="1" thickBot="1">
      <c r="A99" s="70"/>
      <c r="B99" s="89" t="s">
        <v>140</v>
      </c>
      <c r="C99" s="77" t="s">
        <v>142</v>
      </c>
      <c r="D99" s="78">
        <f>200</f>
        <v>200</v>
      </c>
      <c r="E99" s="93">
        <f>200</f>
        <v>200</v>
      </c>
      <c r="F99" s="80">
        <f t="shared" si="1"/>
        <v>1</v>
      </c>
    </row>
    <row r="100" spans="1:6" s="58" customFormat="1" ht="18.75" customHeight="1" thickBot="1">
      <c r="A100" s="65">
        <v>852</v>
      </c>
      <c r="B100" s="53"/>
      <c r="C100" s="54" t="s">
        <v>151</v>
      </c>
      <c r="D100" s="55">
        <f>SUM(D101:D106)</f>
        <v>11167403</v>
      </c>
      <c r="E100" s="56">
        <f>SUM(E101:E106)</f>
        <v>10876517.98</v>
      </c>
      <c r="F100" s="82">
        <f t="shared" si="1"/>
        <v>0.974</v>
      </c>
    </row>
    <row r="101" spans="1:6" s="75" customFormat="1" ht="12.75" customHeight="1">
      <c r="A101" s="70"/>
      <c r="B101" s="95" t="s">
        <v>186</v>
      </c>
      <c r="C101" s="72" t="s">
        <v>204</v>
      </c>
      <c r="D101" s="73">
        <f>30000</f>
        <v>30000</v>
      </c>
      <c r="E101" s="74">
        <f>36654.05</f>
        <v>36654.05</v>
      </c>
      <c r="F101" s="64">
        <f t="shared" si="1"/>
        <v>1.2218</v>
      </c>
    </row>
    <row r="102" spans="1:12" s="75" customFormat="1" ht="12.75" customHeight="1">
      <c r="A102" s="70"/>
      <c r="B102" s="95" t="s">
        <v>164</v>
      </c>
      <c r="C102" s="77" t="s">
        <v>199</v>
      </c>
      <c r="D102" s="73">
        <f>28500+3220+79+0</f>
        <v>31799</v>
      </c>
      <c r="E102" s="74">
        <f>0+5304.47+79.15+118.8</f>
        <v>5502.42</v>
      </c>
      <c r="F102" s="64">
        <f t="shared" si="1"/>
        <v>0.173</v>
      </c>
      <c r="L102" s="126"/>
    </row>
    <row r="103" spans="1:6" s="127" customFormat="1" ht="27" customHeight="1">
      <c r="A103" s="70"/>
      <c r="B103" s="90" t="s">
        <v>167</v>
      </c>
      <c r="C103" s="61" t="s">
        <v>100</v>
      </c>
      <c r="D103" s="91">
        <f>127000+8434426+91500+737937+126000+22528</f>
        <v>9539391</v>
      </c>
      <c r="E103" s="92">
        <f>127000+8186556.64+89790.03+714942.82+126000+22528</f>
        <v>9266817.49</v>
      </c>
      <c r="F103" s="64">
        <f t="shared" si="1"/>
        <v>0.9714</v>
      </c>
    </row>
    <row r="104" spans="1:6" s="127" customFormat="1" ht="27" customHeight="1">
      <c r="A104" s="70"/>
      <c r="B104" s="90" t="s">
        <v>150</v>
      </c>
      <c r="C104" s="61" t="s">
        <v>126</v>
      </c>
      <c r="D104" s="91">
        <f>404563+598750+555000</f>
        <v>1558313</v>
      </c>
      <c r="E104" s="92">
        <f>401415.42+598750+555000</f>
        <v>1555165.42</v>
      </c>
      <c r="F104" s="64">
        <f t="shared" si="1"/>
        <v>0.998</v>
      </c>
    </row>
    <row r="105" spans="1:6" s="75" customFormat="1" ht="27" customHeight="1">
      <c r="A105" s="70"/>
      <c r="B105" s="90" t="s">
        <v>98</v>
      </c>
      <c r="C105" s="67" t="s">
        <v>99</v>
      </c>
      <c r="D105" s="91">
        <f>0+400</f>
        <v>400</v>
      </c>
      <c r="E105" s="92">
        <f>4710.54+168.06</f>
        <v>4878.6</v>
      </c>
      <c r="F105" s="64">
        <f t="shared" si="1"/>
        <v>12.1965</v>
      </c>
    </row>
    <row r="106" spans="1:6" s="75" customFormat="1" ht="27" customHeight="1" thickBot="1">
      <c r="A106" s="70"/>
      <c r="B106" s="76" t="s">
        <v>140</v>
      </c>
      <c r="C106" s="77" t="s">
        <v>142</v>
      </c>
      <c r="D106" s="78">
        <f>7500</f>
        <v>7500</v>
      </c>
      <c r="E106" s="93">
        <f>7500</f>
        <v>7500</v>
      </c>
      <c r="F106" s="80">
        <f t="shared" si="1"/>
        <v>1</v>
      </c>
    </row>
    <row r="107" spans="1:7" s="75" customFormat="1" ht="18.75" customHeight="1" thickBot="1">
      <c r="A107" s="65">
        <v>854</v>
      </c>
      <c r="B107" s="128"/>
      <c r="C107" s="54" t="s">
        <v>19</v>
      </c>
      <c r="D107" s="55">
        <f>SUM(D108)</f>
        <v>192516</v>
      </c>
      <c r="E107" s="56">
        <f>SUM(E108)</f>
        <v>192516</v>
      </c>
      <c r="F107" s="82">
        <f t="shared" si="1"/>
        <v>1</v>
      </c>
      <c r="G107" s="129"/>
    </row>
    <row r="108" spans="1:6" s="75" customFormat="1" ht="28.5" customHeight="1" thickBot="1">
      <c r="A108" s="70"/>
      <c r="B108" s="89" t="s">
        <v>150</v>
      </c>
      <c r="C108" s="77" t="s">
        <v>126</v>
      </c>
      <c r="D108" s="78">
        <f>192516</f>
        <v>192516</v>
      </c>
      <c r="E108" s="93">
        <f>192516</f>
        <v>192516</v>
      </c>
      <c r="F108" s="80">
        <f t="shared" si="1"/>
        <v>1</v>
      </c>
    </row>
    <row r="109" spans="1:6" s="58" customFormat="1" ht="18.75" customHeight="1" thickBot="1">
      <c r="A109" s="65">
        <v>900</v>
      </c>
      <c r="B109" s="53"/>
      <c r="C109" s="54" t="s">
        <v>196</v>
      </c>
      <c r="D109" s="55">
        <f>SUM(D110:D115,D117:D126)</f>
        <v>16648542</v>
      </c>
      <c r="E109" s="56">
        <f>SUM(E110:E115,E117:E126)</f>
        <v>16738451.98</v>
      </c>
      <c r="F109" s="82">
        <f>SUM(E109/D109)</f>
        <v>1.0054</v>
      </c>
    </row>
    <row r="110" spans="1:6" s="75" customFormat="1" ht="12.75" customHeight="1">
      <c r="A110" s="130"/>
      <c r="B110" s="95" t="s">
        <v>187</v>
      </c>
      <c r="C110" s="72" t="s">
        <v>205</v>
      </c>
      <c r="D110" s="73">
        <f>51000</f>
        <v>51000</v>
      </c>
      <c r="E110" s="74">
        <f>35432.28</f>
        <v>35432.28</v>
      </c>
      <c r="F110" s="64">
        <f t="shared" si="1"/>
        <v>0.6948</v>
      </c>
    </row>
    <row r="111" spans="1:6" s="75" customFormat="1" ht="12.75" customHeight="1">
      <c r="A111" s="130"/>
      <c r="B111" s="100" t="s">
        <v>162</v>
      </c>
      <c r="C111" s="67" t="s">
        <v>198</v>
      </c>
      <c r="D111" s="91">
        <f>769590</f>
        <v>769590</v>
      </c>
      <c r="E111" s="92">
        <f>862213.36</f>
        <v>862213.36</v>
      </c>
      <c r="F111" s="64">
        <f t="shared" si="1"/>
        <v>1.1204</v>
      </c>
    </row>
    <row r="112" spans="1:6" s="75" customFormat="1" ht="27" customHeight="1">
      <c r="A112" s="130"/>
      <c r="B112" s="100" t="s">
        <v>181</v>
      </c>
      <c r="C112" s="67" t="s">
        <v>216</v>
      </c>
      <c r="D112" s="91">
        <f>33000</f>
        <v>33000</v>
      </c>
      <c r="E112" s="92">
        <f>47487.45</f>
        <v>47487.45</v>
      </c>
      <c r="F112" s="64">
        <f t="shared" si="1"/>
        <v>1.439</v>
      </c>
    </row>
    <row r="113" spans="1:6" s="75" customFormat="1" ht="12.75" customHeight="1">
      <c r="A113" s="130"/>
      <c r="B113" s="100" t="s">
        <v>222</v>
      </c>
      <c r="C113" s="72" t="s">
        <v>223</v>
      </c>
      <c r="D113" s="91">
        <f>0</f>
        <v>0</v>
      </c>
      <c r="E113" s="92">
        <f>8974.61</f>
        <v>8974.61</v>
      </c>
      <c r="F113" s="64"/>
    </row>
    <row r="114" spans="1:6" s="75" customFormat="1" ht="12.75" customHeight="1">
      <c r="A114" s="130"/>
      <c r="B114" s="100" t="s">
        <v>166</v>
      </c>
      <c r="C114" s="67" t="s">
        <v>201</v>
      </c>
      <c r="D114" s="91">
        <f>3570</f>
        <v>3570</v>
      </c>
      <c r="E114" s="92">
        <f>8720.62</f>
        <v>8720.62</v>
      </c>
      <c r="F114" s="64">
        <f t="shared" si="1"/>
        <v>2.4428</v>
      </c>
    </row>
    <row r="115" spans="1:6" s="75" customFormat="1" ht="38.25" customHeight="1" thickBot="1">
      <c r="A115" s="131"/>
      <c r="B115" s="115" t="s">
        <v>188</v>
      </c>
      <c r="C115" s="116" t="s">
        <v>145</v>
      </c>
      <c r="D115" s="117">
        <f>959936</f>
        <v>959936</v>
      </c>
      <c r="E115" s="118">
        <f>1016777.64</f>
        <v>1016777.64</v>
      </c>
      <c r="F115" s="119">
        <f t="shared" si="1"/>
        <v>1.0592</v>
      </c>
    </row>
    <row r="116" spans="1:6" s="75" customFormat="1" ht="10.5" customHeight="1" thickBot="1">
      <c r="A116" s="508">
        <v>1</v>
      </c>
      <c r="B116" s="509" t="s">
        <v>193</v>
      </c>
      <c r="C116" s="510">
        <v>3</v>
      </c>
      <c r="D116" s="511">
        <v>4</v>
      </c>
      <c r="E116" s="509">
        <v>5</v>
      </c>
      <c r="F116" s="512">
        <v>6</v>
      </c>
    </row>
    <row r="117" spans="1:6" s="75" customFormat="1" ht="27" customHeight="1">
      <c r="A117" s="132"/>
      <c r="B117" s="133" t="s">
        <v>96</v>
      </c>
      <c r="C117" s="134" t="s">
        <v>97</v>
      </c>
      <c r="D117" s="135">
        <f>14000</f>
        <v>14000</v>
      </c>
      <c r="E117" s="136">
        <f>13064.17</f>
        <v>13064.17</v>
      </c>
      <c r="F117" s="137">
        <f t="shared" si="1"/>
        <v>0.9332</v>
      </c>
    </row>
    <row r="118" spans="1:6" s="75" customFormat="1" ht="12.75" customHeight="1">
      <c r="A118" s="138"/>
      <c r="B118" s="139" t="s">
        <v>186</v>
      </c>
      <c r="C118" s="109" t="s">
        <v>204</v>
      </c>
      <c r="D118" s="140">
        <f>4000</f>
        <v>4000</v>
      </c>
      <c r="E118" s="141">
        <f>3484</f>
        <v>3484</v>
      </c>
      <c r="F118" s="105">
        <f t="shared" si="1"/>
        <v>0.871</v>
      </c>
    </row>
    <row r="119" spans="1:6" s="75" customFormat="1" ht="12.75" customHeight="1">
      <c r="A119" s="130"/>
      <c r="B119" s="142" t="s">
        <v>135</v>
      </c>
      <c r="C119" s="143" t="s">
        <v>136</v>
      </c>
      <c r="D119" s="144">
        <f>40999+700000</f>
        <v>740999</v>
      </c>
      <c r="E119" s="145">
        <f>40998.94+789604.26</f>
        <v>830603.2</v>
      </c>
      <c r="F119" s="64">
        <f t="shared" si="1"/>
        <v>1.1209</v>
      </c>
    </row>
    <row r="120" spans="1:6" s="75" customFormat="1" ht="12.75" customHeight="1">
      <c r="A120" s="130"/>
      <c r="B120" s="100" t="s">
        <v>163</v>
      </c>
      <c r="C120" s="67" t="s">
        <v>206</v>
      </c>
      <c r="D120" s="91">
        <f>0+64760</f>
        <v>64760</v>
      </c>
      <c r="E120" s="92">
        <f>18.6+84732.67</f>
        <v>84751.27</v>
      </c>
      <c r="F120" s="64">
        <f t="shared" si="1"/>
        <v>1.3087</v>
      </c>
    </row>
    <row r="121" spans="1:6" s="75" customFormat="1" ht="12.75" customHeight="1">
      <c r="A121" s="130"/>
      <c r="B121" s="100" t="s">
        <v>164</v>
      </c>
      <c r="C121" s="67" t="s">
        <v>199</v>
      </c>
      <c r="D121" s="91">
        <f>0+28217+3800</f>
        <v>32017</v>
      </c>
      <c r="E121" s="92">
        <f>3263.78+69013.4+5080.78</f>
        <v>77357.96</v>
      </c>
      <c r="F121" s="64">
        <f t="shared" si="1"/>
        <v>2.4162</v>
      </c>
    </row>
    <row r="122" spans="1:6" s="75" customFormat="1" ht="12.75" customHeight="1">
      <c r="A122" s="130"/>
      <c r="B122" s="100" t="s">
        <v>224</v>
      </c>
      <c r="C122" s="67" t="s">
        <v>225</v>
      </c>
      <c r="D122" s="91">
        <v>0</v>
      </c>
      <c r="E122" s="92">
        <v>351491.73</v>
      </c>
      <c r="F122" s="64"/>
    </row>
    <row r="123" spans="1:6" s="75" customFormat="1" ht="27" customHeight="1">
      <c r="A123" s="130"/>
      <c r="B123" s="100" t="s">
        <v>80</v>
      </c>
      <c r="C123" s="67" t="s">
        <v>20</v>
      </c>
      <c r="D123" s="91">
        <f>5000</f>
        <v>5000</v>
      </c>
      <c r="E123" s="92">
        <f>5000</f>
        <v>5000</v>
      </c>
      <c r="F123" s="64">
        <f t="shared" si="1"/>
        <v>1</v>
      </c>
    </row>
    <row r="124" spans="1:6" s="75" customFormat="1" ht="27" customHeight="1">
      <c r="A124" s="138"/>
      <c r="B124" s="139" t="s">
        <v>161</v>
      </c>
      <c r="C124" s="109" t="s">
        <v>191</v>
      </c>
      <c r="D124" s="140">
        <f>2550390+100000+230000</f>
        <v>2880390</v>
      </c>
      <c r="E124" s="141">
        <f>2550390+100000+229998.28</f>
        <v>2880388.28</v>
      </c>
      <c r="F124" s="105">
        <f t="shared" si="1"/>
        <v>1</v>
      </c>
    </row>
    <row r="125" spans="1:6" s="75" customFormat="1" ht="27" customHeight="1">
      <c r="A125" s="146"/>
      <c r="B125" s="71" t="s">
        <v>132</v>
      </c>
      <c r="C125" s="143" t="s">
        <v>191</v>
      </c>
      <c r="D125" s="73">
        <v>1750000</v>
      </c>
      <c r="E125" s="74">
        <v>517048.64</v>
      </c>
      <c r="F125" s="64">
        <f t="shared" si="1"/>
        <v>0.2955</v>
      </c>
    </row>
    <row r="126" spans="1:6" s="75" customFormat="1" ht="27" customHeight="1" thickBot="1">
      <c r="A126" s="138"/>
      <c r="B126" s="89" t="s">
        <v>131</v>
      </c>
      <c r="C126" s="77" t="s">
        <v>4</v>
      </c>
      <c r="D126" s="78">
        <v>9340280</v>
      </c>
      <c r="E126" s="79">
        <v>9995656.77</v>
      </c>
      <c r="F126" s="80">
        <f t="shared" si="1"/>
        <v>1.0702</v>
      </c>
    </row>
    <row r="127" spans="1:6" s="58" customFormat="1" ht="18.75" customHeight="1" thickBot="1">
      <c r="A127" s="65">
        <v>921</v>
      </c>
      <c r="B127" s="53"/>
      <c r="C127" s="54" t="s">
        <v>21</v>
      </c>
      <c r="D127" s="55">
        <f>SUM(D128:D130)</f>
        <v>31472</v>
      </c>
      <c r="E127" s="56">
        <f>SUM(E128:E130)</f>
        <v>31940.99</v>
      </c>
      <c r="F127" s="82">
        <f t="shared" si="1"/>
        <v>1.0149</v>
      </c>
    </row>
    <row r="128" spans="1:6" s="75" customFormat="1" ht="12.75" customHeight="1">
      <c r="A128" s="130"/>
      <c r="B128" s="95" t="s">
        <v>164</v>
      </c>
      <c r="C128" s="72" t="s">
        <v>199</v>
      </c>
      <c r="D128" s="73">
        <f>472</f>
        <v>472</v>
      </c>
      <c r="E128" s="74">
        <f>940.99</f>
        <v>940.99</v>
      </c>
      <c r="F128" s="64">
        <f t="shared" si="1"/>
        <v>1.9936</v>
      </c>
    </row>
    <row r="129" spans="1:6" s="75" customFormat="1" ht="27" customHeight="1">
      <c r="A129" s="130"/>
      <c r="B129" s="90" t="s">
        <v>17</v>
      </c>
      <c r="C129" s="67" t="s">
        <v>18</v>
      </c>
      <c r="D129" s="91">
        <v>10000</v>
      </c>
      <c r="E129" s="92">
        <v>10000</v>
      </c>
      <c r="F129" s="64">
        <f t="shared" si="1"/>
        <v>1</v>
      </c>
    </row>
    <row r="130" spans="1:6" s="75" customFormat="1" ht="27" customHeight="1" thickBot="1">
      <c r="A130" s="114"/>
      <c r="B130" s="120" t="s">
        <v>161</v>
      </c>
      <c r="C130" s="121" t="s">
        <v>191</v>
      </c>
      <c r="D130" s="122">
        <f>21000</f>
        <v>21000</v>
      </c>
      <c r="E130" s="123">
        <f>21000</f>
        <v>21000</v>
      </c>
      <c r="F130" s="119">
        <f t="shared" si="1"/>
        <v>1</v>
      </c>
    </row>
    <row r="131" spans="1:6" s="58" customFormat="1" ht="18.75" customHeight="1" thickBot="1">
      <c r="A131" s="65">
        <v>926</v>
      </c>
      <c r="B131" s="53"/>
      <c r="C131" s="54" t="s">
        <v>108</v>
      </c>
      <c r="D131" s="55">
        <f>SUM(D132)</f>
        <v>3000</v>
      </c>
      <c r="E131" s="56">
        <f>SUM(E132:E132)</f>
        <v>3000</v>
      </c>
      <c r="F131" s="82">
        <f t="shared" si="1"/>
        <v>1</v>
      </c>
    </row>
    <row r="132" spans="1:6" s="75" customFormat="1" ht="27" customHeight="1" thickBot="1">
      <c r="A132" s="130"/>
      <c r="B132" s="95" t="s">
        <v>189</v>
      </c>
      <c r="C132" s="88" t="s">
        <v>197</v>
      </c>
      <c r="D132" s="73">
        <v>3000</v>
      </c>
      <c r="E132" s="74">
        <v>3000</v>
      </c>
      <c r="F132" s="64">
        <f t="shared" si="1"/>
        <v>1</v>
      </c>
    </row>
    <row r="133" spans="1:6" s="58" customFormat="1" ht="32.25" customHeight="1" thickBot="1">
      <c r="A133" s="585" t="s">
        <v>190</v>
      </c>
      <c r="B133" s="586"/>
      <c r="C133" s="147"/>
      <c r="D133" s="148">
        <f>SUM(D127,D109,D100,D94,D85,D82,D60,D55,D53,D44,D30,D25,D19,D15,D107,D39,D131,D13)</f>
        <v>115190048</v>
      </c>
      <c r="E133" s="149">
        <f>SUM(E127,E109,E100,E94,E85,E82,E60,E55,E53,E44,E30,E25,E19,E15,E107,E39,E131,E13)</f>
        <v>115214360.84</v>
      </c>
      <c r="F133" s="82">
        <f>SUM(E133/D133)</f>
        <v>1.0002</v>
      </c>
    </row>
    <row r="134" spans="1:4" ht="12">
      <c r="A134" s="16"/>
      <c r="B134" s="17"/>
      <c r="C134" s="18"/>
      <c r="D134" s="19"/>
    </row>
    <row r="135" spans="1:4" ht="12">
      <c r="A135" s="16"/>
      <c r="B135" s="17"/>
      <c r="C135" s="18"/>
      <c r="D135" s="19"/>
    </row>
    <row r="136" spans="1:4" ht="18">
      <c r="A136" s="587"/>
      <c r="B136" s="587"/>
      <c r="C136" s="18"/>
      <c r="D136" s="19"/>
    </row>
    <row r="137" spans="1:4" ht="12">
      <c r="A137" s="16"/>
      <c r="B137" s="17"/>
      <c r="C137" s="18"/>
      <c r="D137" s="19"/>
    </row>
    <row r="138" spans="1:4" ht="12">
      <c r="A138" s="16"/>
      <c r="B138" s="17"/>
      <c r="C138" s="18"/>
      <c r="D138" s="19"/>
    </row>
    <row r="139" spans="1:4" ht="12">
      <c r="A139" s="16"/>
      <c r="B139" s="17"/>
      <c r="C139" s="18"/>
      <c r="D139" s="19"/>
    </row>
    <row r="140" spans="1:4" ht="12">
      <c r="A140" s="16"/>
      <c r="B140" s="17"/>
      <c r="C140" s="18"/>
      <c r="D140" s="19"/>
    </row>
    <row r="141" spans="1:4" ht="12">
      <c r="A141" s="16"/>
      <c r="B141" s="17"/>
      <c r="C141" s="18"/>
      <c r="D141" s="19"/>
    </row>
    <row r="142" spans="1:4" ht="12">
      <c r="A142" s="16"/>
      <c r="B142" s="17"/>
      <c r="C142" s="18"/>
      <c r="D142" s="19"/>
    </row>
  </sheetData>
  <mergeCells count="10">
    <mergeCell ref="A95:A97"/>
    <mergeCell ref="A133:B133"/>
    <mergeCell ref="A136:B136"/>
    <mergeCell ref="A1:F1"/>
    <mergeCell ref="A2:F2"/>
    <mergeCell ref="A5:F5"/>
    <mergeCell ref="A3:F3"/>
    <mergeCell ref="A7:F7"/>
    <mergeCell ref="A8:F8"/>
    <mergeCell ref="A17:A18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61" r:id="rId1"/>
  <rowBreaks count="2" manualBreakCount="2">
    <brk id="58" max="5" man="1"/>
    <brk id="1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D67"/>
  <sheetViews>
    <sheetView showGridLines="0" view="pageBreakPreview" zoomScaleSheetLayoutView="100" workbookViewId="0" topLeftCell="A1">
      <selection activeCell="L12" sqref="L12"/>
    </sheetView>
  </sheetViews>
  <sheetFormatPr defaultColWidth="9.00390625" defaultRowHeight="12"/>
  <cols>
    <col min="1" max="1" width="60.375" style="23" customWidth="1"/>
    <col min="2" max="2" width="14.00390625" style="23" customWidth="1"/>
    <col min="3" max="3" width="16.875" style="23" customWidth="1"/>
    <col min="4" max="4" width="10.625" style="23" customWidth="1"/>
    <col min="5" max="16384" width="9.125" style="23" customWidth="1"/>
  </cols>
  <sheetData>
    <row r="1" spans="1:3" s="5" customFormat="1" ht="15.75">
      <c r="A1" s="591" t="s">
        <v>114</v>
      </c>
      <c r="B1" s="591"/>
      <c r="C1" s="591"/>
    </row>
    <row r="2" spans="1:4" ht="15.75" thickBot="1">
      <c r="A2" s="25"/>
      <c r="B2" s="22"/>
      <c r="C2" s="24"/>
      <c r="D2" s="24" t="s">
        <v>124</v>
      </c>
    </row>
    <row r="3" spans="1:4" s="51" customFormat="1" ht="15.75" customHeight="1">
      <c r="A3" s="592" t="s">
        <v>233</v>
      </c>
      <c r="B3" s="594" t="s">
        <v>234</v>
      </c>
      <c r="C3" s="596" t="s">
        <v>24</v>
      </c>
      <c r="D3" s="513" t="s">
        <v>115</v>
      </c>
    </row>
    <row r="4" spans="1:4" s="51" customFormat="1" ht="12.75" customHeight="1">
      <c r="A4" s="593"/>
      <c r="B4" s="595"/>
      <c r="C4" s="597"/>
      <c r="D4" s="514" t="s">
        <v>116</v>
      </c>
    </row>
    <row r="5" spans="1:4" s="51" customFormat="1" ht="12.75" thickBot="1">
      <c r="A5" s="515">
        <v>1</v>
      </c>
      <c r="B5" s="516">
        <v>2</v>
      </c>
      <c r="C5" s="516">
        <v>3</v>
      </c>
      <c r="D5" s="517">
        <v>4</v>
      </c>
    </row>
    <row r="6" spans="1:4" s="51" customFormat="1" ht="9.75" customHeight="1">
      <c r="A6" s="150"/>
      <c r="B6" s="151"/>
      <c r="C6" s="151"/>
      <c r="D6" s="446"/>
    </row>
    <row r="7" spans="1:4" s="51" customFormat="1" ht="15.75" thickBot="1">
      <c r="A7" s="152" t="s">
        <v>235</v>
      </c>
      <c r="B7" s="153">
        <f>SUM(B9+B33+B40+B44+B67)</f>
        <v>115190048</v>
      </c>
      <c r="C7" s="154">
        <f>SUM(C9+C33+C40+C44+C67)</f>
        <v>115214360.84</v>
      </c>
      <c r="D7" s="155">
        <f>SUM(C7/B7)</f>
        <v>1.0002</v>
      </c>
    </row>
    <row r="8" spans="1:4" s="51" customFormat="1" ht="13.5" customHeight="1" thickTop="1">
      <c r="A8" s="150"/>
      <c r="B8" s="156"/>
      <c r="C8" s="157"/>
      <c r="D8" s="158"/>
    </row>
    <row r="9" spans="1:4" s="51" customFormat="1" ht="12.75">
      <c r="A9" s="159" t="s">
        <v>236</v>
      </c>
      <c r="B9" s="160">
        <f>SUM(B10:B18,B22:B31)</f>
        <v>52775071</v>
      </c>
      <c r="C9" s="161">
        <f>SUM(C10:C18,C22:C31)</f>
        <v>56698737.88</v>
      </c>
      <c r="D9" s="162">
        <f aca="true" t="shared" si="0" ref="D9:D18">SUM(C9/B9)</f>
        <v>1.0743</v>
      </c>
    </row>
    <row r="10" spans="1:4" s="51" customFormat="1" ht="12.75">
      <c r="A10" s="163" t="s">
        <v>237</v>
      </c>
      <c r="B10" s="164">
        <v>34900000</v>
      </c>
      <c r="C10" s="165">
        <v>36081728.19</v>
      </c>
      <c r="D10" s="3">
        <f>SUM(C10/B10)</f>
        <v>1.0339</v>
      </c>
    </row>
    <row r="11" spans="1:4" s="51" customFormat="1" ht="12.75">
      <c r="A11" s="163" t="s">
        <v>238</v>
      </c>
      <c r="B11" s="166">
        <v>380000</v>
      </c>
      <c r="C11" s="167">
        <v>339214.54</v>
      </c>
      <c r="D11" s="1">
        <f t="shared" si="0"/>
        <v>0.8927</v>
      </c>
    </row>
    <row r="12" spans="1:4" s="51" customFormat="1" ht="12.75">
      <c r="A12" s="163" t="s">
        <v>239</v>
      </c>
      <c r="B12" s="166">
        <v>68000</v>
      </c>
      <c r="C12" s="167">
        <v>69023.87</v>
      </c>
      <c r="D12" s="1">
        <f t="shared" si="0"/>
        <v>1.0151</v>
      </c>
    </row>
    <row r="13" spans="1:4" s="51" customFormat="1" ht="12.75">
      <c r="A13" s="163" t="s">
        <v>240</v>
      </c>
      <c r="B13" s="166">
        <v>500</v>
      </c>
      <c r="C13" s="167">
        <v>1476.59</v>
      </c>
      <c r="D13" s="1">
        <f t="shared" si="0"/>
        <v>2.9532</v>
      </c>
    </row>
    <row r="14" spans="1:4" s="51" customFormat="1" ht="12.75">
      <c r="A14" s="163" t="s">
        <v>241</v>
      </c>
      <c r="B14" s="166">
        <v>51000</v>
      </c>
      <c r="C14" s="167">
        <v>108564.7</v>
      </c>
      <c r="D14" s="1">
        <f t="shared" si="0"/>
        <v>2.1287</v>
      </c>
    </row>
    <row r="15" spans="1:4" s="51" customFormat="1" ht="12.75">
      <c r="A15" s="163" t="s">
        <v>242</v>
      </c>
      <c r="B15" s="166">
        <v>90000</v>
      </c>
      <c r="C15" s="167">
        <v>109776.12</v>
      </c>
      <c r="D15" s="1">
        <f t="shared" si="0"/>
        <v>1.2197</v>
      </c>
    </row>
    <row r="16" spans="1:4" s="51" customFormat="1" ht="12.75">
      <c r="A16" s="163" t="s">
        <v>243</v>
      </c>
      <c r="B16" s="166">
        <v>200000</v>
      </c>
      <c r="C16" s="167">
        <v>168827.86</v>
      </c>
      <c r="D16" s="1">
        <f t="shared" si="0"/>
        <v>0.8441</v>
      </c>
    </row>
    <row r="17" spans="1:4" s="51" customFormat="1" ht="12.75">
      <c r="A17" s="163" t="s">
        <v>247</v>
      </c>
      <c r="B17" s="166">
        <v>700000</v>
      </c>
      <c r="C17" s="167">
        <v>946398.99</v>
      </c>
      <c r="D17" s="1">
        <f t="shared" si="0"/>
        <v>1.352</v>
      </c>
    </row>
    <row r="18" spans="1:4" s="51" customFormat="1" ht="12.75">
      <c r="A18" s="163" t="s">
        <v>248</v>
      </c>
      <c r="B18" s="168">
        <f>SUM(B20:B21)</f>
        <v>15031640</v>
      </c>
      <c r="C18" s="169">
        <f>SUM(C20:C21)</f>
        <v>17144735.34</v>
      </c>
      <c r="D18" s="2">
        <f t="shared" si="0"/>
        <v>1.1406</v>
      </c>
    </row>
    <row r="19" spans="1:4" s="51" customFormat="1" ht="12.75">
      <c r="A19" s="163" t="s">
        <v>249</v>
      </c>
      <c r="B19" s="164"/>
      <c r="C19" s="165"/>
      <c r="D19" s="170"/>
    </row>
    <row r="20" spans="1:4" s="51" customFormat="1" ht="12.75">
      <c r="A20" s="163" t="s">
        <v>157</v>
      </c>
      <c r="B20" s="166">
        <v>14380000</v>
      </c>
      <c r="C20" s="167">
        <v>16717369</v>
      </c>
      <c r="D20" s="1">
        <f>SUM(C20/B20)</f>
        <v>1.1625</v>
      </c>
    </row>
    <row r="21" spans="1:4" s="51" customFormat="1" ht="12.75">
      <c r="A21" s="163" t="s">
        <v>250</v>
      </c>
      <c r="B21" s="166">
        <v>651640</v>
      </c>
      <c r="C21" s="167">
        <v>427366.34</v>
      </c>
      <c r="D21" s="1">
        <f aca="true" t="shared" si="1" ref="D21:D31">SUM(C21/B21)</f>
        <v>0.6558</v>
      </c>
    </row>
    <row r="22" spans="1:4" s="51" customFormat="1" ht="12.75">
      <c r="A22" s="163" t="s">
        <v>251</v>
      </c>
      <c r="B22" s="166">
        <v>123000</v>
      </c>
      <c r="C22" s="167">
        <v>126637.51</v>
      </c>
      <c r="D22" s="1">
        <f t="shared" si="1"/>
        <v>1.0296</v>
      </c>
    </row>
    <row r="23" spans="1:4" s="51" customFormat="1" ht="12.75">
      <c r="A23" s="163" t="s">
        <v>252</v>
      </c>
      <c r="B23" s="166">
        <v>158900</v>
      </c>
      <c r="C23" s="167">
        <v>165228.18</v>
      </c>
      <c r="D23" s="1">
        <f t="shared" si="1"/>
        <v>1.0398</v>
      </c>
    </row>
    <row r="24" spans="1:4" s="51" customFormat="1" ht="12.75">
      <c r="A24" s="171" t="s">
        <v>220</v>
      </c>
      <c r="B24" s="166"/>
      <c r="C24" s="167"/>
      <c r="D24" s="1"/>
    </row>
    <row r="25" spans="1:4" s="51" customFormat="1" ht="12.75">
      <c r="A25" s="171" t="s">
        <v>221</v>
      </c>
      <c r="B25" s="166">
        <v>524000</v>
      </c>
      <c r="C25" s="167">
        <v>542040.61</v>
      </c>
      <c r="D25" s="1">
        <f t="shared" si="1"/>
        <v>1.0344</v>
      </c>
    </row>
    <row r="26" spans="1:4" s="51" customFormat="1" ht="12.75">
      <c r="A26" s="163" t="s">
        <v>253</v>
      </c>
      <c r="B26" s="166">
        <v>200000</v>
      </c>
      <c r="C26" s="167">
        <v>465411.39</v>
      </c>
      <c r="D26" s="1">
        <f t="shared" si="1"/>
        <v>2.3271</v>
      </c>
    </row>
    <row r="27" spans="1:4" s="51" customFormat="1" ht="12.75">
      <c r="A27" s="163" t="s">
        <v>25</v>
      </c>
      <c r="B27" s="166">
        <v>6850</v>
      </c>
      <c r="C27" s="167">
        <v>10360</v>
      </c>
      <c r="D27" s="1">
        <f t="shared" si="1"/>
        <v>1.5124</v>
      </c>
    </row>
    <row r="28" spans="1:4" s="174" customFormat="1" ht="12.75">
      <c r="A28" s="163" t="s">
        <v>26</v>
      </c>
      <c r="B28" s="172"/>
      <c r="C28" s="173"/>
      <c r="D28" s="1"/>
    </row>
    <row r="29" spans="1:4" s="174" customFormat="1" ht="12.75">
      <c r="A29" s="163" t="s">
        <v>27</v>
      </c>
      <c r="B29" s="172">
        <v>253534</v>
      </c>
      <c r="C29" s="173">
        <v>253619</v>
      </c>
      <c r="D29" s="1">
        <f t="shared" si="1"/>
        <v>1.0003</v>
      </c>
    </row>
    <row r="30" spans="1:4" s="51" customFormat="1" ht="12.75">
      <c r="A30" s="163" t="s">
        <v>28</v>
      </c>
      <c r="B30" s="172">
        <v>77553</v>
      </c>
      <c r="C30" s="173">
        <v>142453.13</v>
      </c>
      <c r="D30" s="1">
        <f t="shared" si="1"/>
        <v>1.8368</v>
      </c>
    </row>
    <row r="31" spans="1:4" s="51" customFormat="1" ht="12.75">
      <c r="A31" s="163" t="s">
        <v>29</v>
      </c>
      <c r="B31" s="166">
        <v>10094</v>
      </c>
      <c r="C31" s="167">
        <v>23241.86</v>
      </c>
      <c r="D31" s="1">
        <f t="shared" si="1"/>
        <v>2.3025</v>
      </c>
    </row>
    <row r="32" spans="1:4" s="51" customFormat="1" ht="12.75">
      <c r="A32" s="163"/>
      <c r="B32" s="168"/>
      <c r="C32" s="169"/>
      <c r="D32" s="175"/>
    </row>
    <row r="33" spans="1:4" s="51" customFormat="1" ht="12.75">
      <c r="A33" s="159" t="s">
        <v>254</v>
      </c>
      <c r="B33" s="160">
        <f>SUM(B34:B35,B37:B38)</f>
        <v>6985693</v>
      </c>
      <c r="C33" s="161">
        <f>SUM(C34:C35,C37:C38)</f>
        <v>7562643.48</v>
      </c>
      <c r="D33" s="162">
        <f aca="true" t="shared" si="2" ref="D33:D38">SUM(C33/B33)</f>
        <v>1.0826</v>
      </c>
    </row>
    <row r="34" spans="1:4" s="51" customFormat="1" ht="12.75">
      <c r="A34" s="163" t="s">
        <v>255</v>
      </c>
      <c r="B34" s="164">
        <v>854590</v>
      </c>
      <c r="C34" s="165">
        <v>932483.87</v>
      </c>
      <c r="D34" s="176">
        <f t="shared" si="2"/>
        <v>1.0911</v>
      </c>
    </row>
    <row r="35" spans="1:4" s="51" customFormat="1" ht="12.75">
      <c r="A35" s="163" t="s">
        <v>259</v>
      </c>
      <c r="B35" s="166">
        <v>4569244</v>
      </c>
      <c r="C35" s="167">
        <v>4613768.76</v>
      </c>
      <c r="D35" s="176">
        <f t="shared" si="2"/>
        <v>1.0097</v>
      </c>
    </row>
    <row r="36" spans="1:4" s="51" customFormat="1" ht="12.75">
      <c r="A36" s="163" t="s">
        <v>260</v>
      </c>
      <c r="B36" s="166">
        <v>621800</v>
      </c>
      <c r="C36" s="167">
        <v>516948.59</v>
      </c>
      <c r="D36" s="176">
        <f t="shared" si="2"/>
        <v>0.8314</v>
      </c>
    </row>
    <row r="37" spans="1:4" s="51" customFormat="1" ht="12.75">
      <c r="A37" s="163" t="s">
        <v>261</v>
      </c>
      <c r="B37" s="166">
        <v>1420999</v>
      </c>
      <c r="C37" s="167">
        <v>1832055.6</v>
      </c>
      <c r="D37" s="176">
        <f t="shared" si="2"/>
        <v>1.2893</v>
      </c>
    </row>
    <row r="38" spans="1:4" s="51" customFormat="1" ht="12.75">
      <c r="A38" s="163" t="s">
        <v>262</v>
      </c>
      <c r="B38" s="166">
        <v>140860</v>
      </c>
      <c r="C38" s="167">
        <v>184335.25</v>
      </c>
      <c r="D38" s="176">
        <f t="shared" si="2"/>
        <v>1.3086</v>
      </c>
    </row>
    <row r="39" spans="1:4" s="181" customFormat="1" ht="12.75">
      <c r="A39" s="177"/>
      <c r="B39" s="178"/>
      <c r="C39" s="179"/>
      <c r="D39" s="180"/>
    </row>
    <row r="40" spans="1:4" s="51" customFormat="1" ht="12.75">
      <c r="A40" s="159" t="s">
        <v>263</v>
      </c>
      <c r="B40" s="182">
        <f>SUM(B41:B42)</f>
        <v>14230925</v>
      </c>
      <c r="C40" s="161">
        <f>SUM(C41:C42)</f>
        <v>14230925</v>
      </c>
      <c r="D40" s="162">
        <f>SUM(C40/B40)</f>
        <v>1</v>
      </c>
    </row>
    <row r="41" spans="1:4" s="51" customFormat="1" ht="12.75">
      <c r="A41" s="183" t="s">
        <v>272</v>
      </c>
      <c r="B41" s="164">
        <v>13735470</v>
      </c>
      <c r="C41" s="165">
        <v>13735470</v>
      </c>
      <c r="D41" s="176">
        <f>SUM(C41/B41)</f>
        <v>1</v>
      </c>
    </row>
    <row r="42" spans="1:4" s="51" customFormat="1" ht="12.75">
      <c r="A42" s="163" t="s">
        <v>273</v>
      </c>
      <c r="B42" s="166">
        <v>495455</v>
      </c>
      <c r="C42" s="167">
        <v>495455</v>
      </c>
      <c r="D42" s="176">
        <f>SUM(C42/B42)</f>
        <v>1</v>
      </c>
    </row>
    <row r="43" spans="1:4" s="181" customFormat="1" ht="12.75">
      <c r="A43" s="177"/>
      <c r="B43" s="184"/>
      <c r="C43" s="185"/>
      <c r="D43" s="180"/>
    </row>
    <row r="44" spans="1:4" s="51" customFormat="1" ht="12.75">
      <c r="A44" s="159" t="s">
        <v>274</v>
      </c>
      <c r="B44" s="160">
        <f>SUM(B45,B60,B64,)</f>
        <v>40617366</v>
      </c>
      <c r="C44" s="186">
        <f>SUM(C45,C60,C64,)</f>
        <v>35676884.86</v>
      </c>
      <c r="D44" s="162">
        <f>SUM(C44/B44)</f>
        <v>0.8784</v>
      </c>
    </row>
    <row r="45" spans="1:4" s="51" customFormat="1" ht="12.75">
      <c r="A45" s="163" t="s">
        <v>280</v>
      </c>
      <c r="B45" s="166">
        <f>SUM(B47,B52,)</f>
        <v>30466002</v>
      </c>
      <c r="C45" s="187">
        <f>SUM(C47,C52,)</f>
        <v>25798971.39</v>
      </c>
      <c r="D45" s="176">
        <f>SUM(C45/B45)</f>
        <v>0.8468</v>
      </c>
    </row>
    <row r="46" spans="1:4" s="51" customFormat="1" ht="7.5" customHeight="1">
      <c r="A46" s="163"/>
      <c r="B46" s="166"/>
      <c r="C46" s="188"/>
      <c r="D46" s="176"/>
    </row>
    <row r="47" spans="1:4" s="51" customFormat="1" ht="12.75">
      <c r="A47" s="163" t="s">
        <v>30</v>
      </c>
      <c r="B47" s="166">
        <f>SUM(B48:B50)</f>
        <v>9054957</v>
      </c>
      <c r="C47" s="167">
        <f>SUM(C48:C50)</f>
        <v>7816382.57</v>
      </c>
      <c r="D47" s="176">
        <f aca="true" t="shared" si="3" ref="D47:D65">SUM(C47/B47)</f>
        <v>0.8632</v>
      </c>
    </row>
    <row r="48" spans="1:4" s="51" customFormat="1" ht="12.75">
      <c r="A48" s="163" t="s">
        <v>31</v>
      </c>
      <c r="B48" s="166">
        <v>2222567</v>
      </c>
      <c r="C48" s="188">
        <v>2219377.1</v>
      </c>
      <c r="D48" s="176">
        <f t="shared" si="3"/>
        <v>0.9986</v>
      </c>
    </row>
    <row r="49" spans="1:4" s="51" customFormat="1" ht="12.75">
      <c r="A49" s="163" t="s">
        <v>276</v>
      </c>
      <c r="B49" s="166">
        <v>6829390</v>
      </c>
      <c r="C49" s="188">
        <f>5589005.47+5000</f>
        <v>5594005.47</v>
      </c>
      <c r="D49" s="176">
        <f t="shared" si="3"/>
        <v>0.8191</v>
      </c>
    </row>
    <row r="50" spans="1:4" s="51" customFormat="1" ht="12.75">
      <c r="A50" s="163" t="s">
        <v>32</v>
      </c>
      <c r="B50" s="166">
        <v>3000</v>
      </c>
      <c r="C50" s="188">
        <v>3000</v>
      </c>
      <c r="D50" s="176">
        <f>SUM(C50/B50)</f>
        <v>1</v>
      </c>
    </row>
    <row r="51" spans="1:4" s="51" customFormat="1" ht="7.5" customHeight="1">
      <c r="A51" s="163"/>
      <c r="B51" s="166"/>
      <c r="C51" s="188"/>
      <c r="D51" s="176"/>
    </row>
    <row r="52" spans="1:4" s="51" customFormat="1" ht="12.75">
      <c r="A52" s="163" t="s">
        <v>33</v>
      </c>
      <c r="B52" s="166">
        <f>SUM(B53:B58)</f>
        <v>21411045</v>
      </c>
      <c r="C52" s="167">
        <f>SUM(C53:C58)</f>
        <v>17982588.82</v>
      </c>
      <c r="D52" s="176">
        <f>SUM(C52/B52)</f>
        <v>0.8399</v>
      </c>
    </row>
    <row r="53" spans="1:4" s="51" customFormat="1" ht="12.75">
      <c r="A53" s="163" t="s">
        <v>278</v>
      </c>
      <c r="B53" s="166">
        <v>9340280</v>
      </c>
      <c r="C53" s="188">
        <v>9995656.77</v>
      </c>
      <c r="D53" s="176">
        <f t="shared" si="3"/>
        <v>1.0702</v>
      </c>
    </row>
    <row r="54" spans="1:4" s="51" customFormat="1" ht="12.75">
      <c r="A54" s="163" t="s">
        <v>34</v>
      </c>
      <c r="B54" s="166">
        <v>3240862</v>
      </c>
      <c r="C54" s="188">
        <v>1961480.57</v>
      </c>
      <c r="D54" s="176">
        <f t="shared" si="3"/>
        <v>0.6052</v>
      </c>
    </row>
    <row r="55" spans="1:4" s="51" customFormat="1" ht="12.75">
      <c r="A55" s="163" t="s">
        <v>275</v>
      </c>
      <c r="B55" s="166">
        <v>8774444</v>
      </c>
      <c r="C55" s="188">
        <v>5968692.48</v>
      </c>
      <c r="D55" s="176">
        <f t="shared" si="3"/>
        <v>0.6802</v>
      </c>
    </row>
    <row r="56" spans="1:4" s="51" customFormat="1" ht="12.75">
      <c r="A56" s="163" t="s">
        <v>279</v>
      </c>
      <c r="B56" s="166">
        <v>25459</v>
      </c>
      <c r="C56" s="188">
        <v>26759</v>
      </c>
      <c r="D56" s="176">
        <f t="shared" si="3"/>
        <v>1.0511</v>
      </c>
    </row>
    <row r="57" spans="1:4" s="51" customFormat="1" ht="12.75">
      <c r="A57" s="163" t="s">
        <v>277</v>
      </c>
      <c r="B57" s="166">
        <v>10000</v>
      </c>
      <c r="C57" s="188">
        <v>10000</v>
      </c>
      <c r="D57" s="176">
        <f t="shared" si="3"/>
        <v>1</v>
      </c>
    </row>
    <row r="58" spans="1:4" s="51" customFormat="1" ht="12.75">
      <c r="A58" s="163" t="s">
        <v>35</v>
      </c>
      <c r="B58" s="166">
        <v>20000</v>
      </c>
      <c r="C58" s="188">
        <v>20000</v>
      </c>
      <c r="D58" s="176">
        <f>SUM(C58/B58)</f>
        <v>1</v>
      </c>
    </row>
    <row r="59" spans="1:4" s="51" customFormat="1" ht="7.5" customHeight="1">
      <c r="A59" s="163"/>
      <c r="B59" s="166"/>
      <c r="C59" s="188"/>
      <c r="D59" s="176"/>
    </row>
    <row r="60" spans="1:4" s="51" customFormat="1" ht="12.75">
      <c r="A60" s="163" t="s">
        <v>282</v>
      </c>
      <c r="B60" s="166">
        <f>SUM(B62)</f>
        <v>9906364</v>
      </c>
      <c r="C60" s="188">
        <f>SUM(C62)</f>
        <v>9632913.47</v>
      </c>
      <c r="D60" s="176">
        <f t="shared" si="3"/>
        <v>0.9724</v>
      </c>
    </row>
    <row r="61" spans="1:4" s="51" customFormat="1" ht="12.75">
      <c r="A61" s="163" t="s">
        <v>281</v>
      </c>
      <c r="B61" s="166"/>
      <c r="C61" s="188"/>
      <c r="D61" s="176"/>
    </row>
    <row r="62" spans="1:4" s="51" customFormat="1" ht="12.75">
      <c r="A62" s="163" t="s">
        <v>283</v>
      </c>
      <c r="B62" s="166">
        <v>9906364</v>
      </c>
      <c r="C62" s="188">
        <v>9632913.47</v>
      </c>
      <c r="D62" s="176">
        <f t="shared" si="3"/>
        <v>0.9724</v>
      </c>
    </row>
    <row r="63" spans="1:4" s="51" customFormat="1" ht="12.75">
      <c r="A63" s="163" t="s">
        <v>244</v>
      </c>
      <c r="B63" s="166"/>
      <c r="C63" s="188"/>
      <c r="D63" s="176"/>
    </row>
    <row r="64" spans="1:4" s="51" customFormat="1" ht="12.75">
      <c r="A64" s="163" t="s">
        <v>245</v>
      </c>
      <c r="B64" s="166">
        <f>SUM(B65)</f>
        <v>245000</v>
      </c>
      <c r="C64" s="188">
        <f>SUM(C65)</f>
        <v>245000</v>
      </c>
      <c r="D64" s="176">
        <f t="shared" si="3"/>
        <v>1</v>
      </c>
    </row>
    <row r="65" spans="1:4" s="51" customFormat="1" ht="12.75">
      <c r="A65" s="163" t="s">
        <v>246</v>
      </c>
      <c r="B65" s="166">
        <v>245000</v>
      </c>
      <c r="C65" s="188">
        <v>245000</v>
      </c>
      <c r="D65" s="176">
        <f t="shared" si="3"/>
        <v>1</v>
      </c>
    </row>
    <row r="66" spans="1:4" s="181" customFormat="1" ht="12.75">
      <c r="A66" s="177"/>
      <c r="B66" s="184"/>
      <c r="C66" s="189"/>
      <c r="D66" s="180"/>
    </row>
    <row r="67" spans="1:4" s="51" customFormat="1" ht="13.5" thickBot="1">
      <c r="A67" s="190" t="s">
        <v>264</v>
      </c>
      <c r="B67" s="191">
        <v>580993</v>
      </c>
      <c r="C67" s="192">
        <v>1045169.62</v>
      </c>
      <c r="D67" s="193">
        <f>SUM(C67/B67)</f>
        <v>1.7989</v>
      </c>
    </row>
  </sheetData>
  <mergeCells count="4">
    <mergeCell ref="A1:C1"/>
    <mergeCell ref="A3:A4"/>
    <mergeCell ref="B3:B4"/>
    <mergeCell ref="C3:C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324"/>
  <sheetViews>
    <sheetView showGridLines="0" view="pageBreakPreview" zoomScaleSheetLayoutView="100" workbookViewId="0" topLeftCell="A1">
      <selection activeCell="I311" sqref="I311"/>
    </sheetView>
  </sheetViews>
  <sheetFormatPr defaultColWidth="9.00390625" defaultRowHeight="12"/>
  <cols>
    <col min="1" max="1" width="6.625" style="23" customWidth="1"/>
    <col min="2" max="2" width="12.625" style="23" customWidth="1"/>
    <col min="3" max="3" width="11.125" style="23" customWidth="1"/>
    <col min="4" max="4" width="67.375" style="23" customWidth="1"/>
    <col min="5" max="5" width="13.75390625" style="23" customWidth="1"/>
    <col min="6" max="6" width="16.25390625" style="23" customWidth="1"/>
    <col min="7" max="7" width="11.75390625" style="23" customWidth="1"/>
    <col min="8" max="16384" width="9.125" style="23" customWidth="1"/>
  </cols>
  <sheetData>
    <row r="1" spans="2:6" s="5" customFormat="1" ht="18">
      <c r="B1" s="567" t="s">
        <v>117</v>
      </c>
      <c r="C1" s="567"/>
      <c r="D1" s="567"/>
      <c r="E1" s="567"/>
      <c r="F1" s="567"/>
    </row>
    <row r="2" spans="1:6" s="5" customFormat="1" ht="15">
      <c r="A2" s="22"/>
      <c r="B2" s="7"/>
      <c r="C2" s="7"/>
      <c r="D2" s="7"/>
      <c r="E2" s="7"/>
      <c r="F2" s="7"/>
    </row>
    <row r="3" spans="1:6" s="5" customFormat="1" ht="18">
      <c r="A3" s="23"/>
      <c r="B3" s="590" t="s">
        <v>118</v>
      </c>
      <c r="C3" s="590"/>
      <c r="D3" s="590"/>
      <c r="E3" s="590"/>
      <c r="F3" s="590"/>
    </row>
    <row r="4" ht="12.75" thickBot="1">
      <c r="G4" s="24" t="s">
        <v>124</v>
      </c>
    </row>
    <row r="5" spans="1:9" s="51" customFormat="1" ht="14.25" customHeight="1">
      <c r="A5" s="194"/>
      <c r="B5" s="568" t="s">
        <v>265</v>
      </c>
      <c r="C5" s="570" t="s">
        <v>266</v>
      </c>
      <c r="D5" s="571"/>
      <c r="E5" s="574" t="s">
        <v>234</v>
      </c>
      <c r="F5" s="570" t="s">
        <v>128</v>
      </c>
      <c r="G5" s="576" t="s">
        <v>36</v>
      </c>
      <c r="H5" s="195"/>
      <c r="I5" s="196"/>
    </row>
    <row r="6" spans="2:9" s="51" customFormat="1" ht="14.25" customHeight="1">
      <c r="B6" s="569"/>
      <c r="C6" s="572"/>
      <c r="D6" s="573"/>
      <c r="E6" s="575"/>
      <c r="F6" s="572"/>
      <c r="G6" s="560"/>
      <c r="H6" s="197"/>
      <c r="I6" s="196"/>
    </row>
    <row r="7" spans="2:9" s="51" customFormat="1" ht="15" thickBot="1">
      <c r="B7" s="519">
        <v>1</v>
      </c>
      <c r="C7" s="520">
        <v>2</v>
      </c>
      <c r="D7" s="521"/>
      <c r="E7" s="522">
        <v>3</v>
      </c>
      <c r="F7" s="522">
        <v>4</v>
      </c>
      <c r="G7" s="523">
        <v>5</v>
      </c>
      <c r="H7" s="198"/>
      <c r="I7" s="196"/>
    </row>
    <row r="8" spans="2:9" s="51" customFormat="1" ht="14.25" customHeight="1">
      <c r="B8" s="199"/>
      <c r="C8" s="200"/>
      <c r="D8" s="201"/>
      <c r="E8" s="202"/>
      <c r="F8" s="203"/>
      <c r="G8" s="228"/>
      <c r="H8" s="198"/>
      <c r="I8" s="196"/>
    </row>
    <row r="9" spans="2:9" s="51" customFormat="1" ht="14.25" customHeight="1">
      <c r="B9" s="205" t="s">
        <v>293</v>
      </c>
      <c r="C9" s="48" t="s">
        <v>1</v>
      </c>
      <c r="D9" s="206"/>
      <c r="E9" s="207">
        <f>SUM(E200)</f>
        <v>859</v>
      </c>
      <c r="F9" s="208">
        <f>SUM(F200)</f>
        <v>858.85</v>
      </c>
      <c r="G9" s="209">
        <f>SUM(F9/E9)</f>
        <v>0.9998</v>
      </c>
      <c r="H9" s="210"/>
      <c r="I9" s="196"/>
    </row>
    <row r="10" spans="2:9" s="51" customFormat="1" ht="14.25" customHeight="1">
      <c r="B10" s="199"/>
      <c r="C10" s="200"/>
      <c r="D10" s="201"/>
      <c r="E10" s="211"/>
      <c r="F10" s="211"/>
      <c r="G10" s="212"/>
      <c r="H10" s="198"/>
      <c r="I10" s="196"/>
    </row>
    <row r="11" spans="2:9" s="51" customFormat="1" ht="14.25" customHeight="1">
      <c r="B11" s="199">
        <v>400</v>
      </c>
      <c r="C11" s="213" t="s">
        <v>37</v>
      </c>
      <c r="D11" s="214"/>
      <c r="E11" s="215"/>
      <c r="F11" s="215"/>
      <c r="G11" s="216"/>
      <c r="H11" s="217"/>
      <c r="I11" s="196"/>
    </row>
    <row r="12" spans="2:9" s="51" customFormat="1" ht="14.25" customHeight="1">
      <c r="B12" s="218"/>
      <c r="C12" s="219" t="s">
        <v>38</v>
      </c>
      <c r="D12" s="220"/>
      <c r="E12" s="221">
        <f>SUM(E61)</f>
        <v>10660444</v>
      </c>
      <c r="F12" s="222">
        <f>SUM(F61)</f>
        <v>7855184.33</v>
      </c>
      <c r="G12" s="223">
        <f>SUM(F12/E12)</f>
        <v>0.7369</v>
      </c>
      <c r="H12" s="224"/>
      <c r="I12" s="196"/>
    </row>
    <row r="13" spans="2:9" s="51" customFormat="1" ht="14.25" customHeight="1">
      <c r="B13" s="199"/>
      <c r="C13" s="200"/>
      <c r="D13" s="201"/>
      <c r="E13" s="202"/>
      <c r="F13" s="203"/>
      <c r="G13" s="204"/>
      <c r="H13" s="198"/>
      <c r="I13" s="196"/>
    </row>
    <row r="14" spans="2:9" s="51" customFormat="1" ht="14.25" customHeight="1">
      <c r="B14" s="218">
        <v>600</v>
      </c>
      <c r="C14" s="48" t="s">
        <v>267</v>
      </c>
      <c r="D14" s="206"/>
      <c r="E14" s="207">
        <f>SUM(E65+E291)</f>
        <v>912966</v>
      </c>
      <c r="F14" s="208">
        <f>SUM(F65+F291)</f>
        <v>275583.82</v>
      </c>
      <c r="G14" s="209">
        <f>SUM(F14/E14)</f>
        <v>0.3019</v>
      </c>
      <c r="H14" s="210"/>
      <c r="I14" s="196"/>
    </row>
    <row r="15" spans="2:9" s="51" customFormat="1" ht="14.25" customHeight="1">
      <c r="B15" s="199"/>
      <c r="C15" s="225"/>
      <c r="D15" s="201"/>
      <c r="E15" s="226"/>
      <c r="F15" s="227"/>
      <c r="G15" s="204"/>
      <c r="H15" s="210"/>
      <c r="I15" s="196"/>
    </row>
    <row r="16" spans="2:9" s="51" customFormat="1" ht="14.25" customHeight="1">
      <c r="B16" s="218">
        <v>630</v>
      </c>
      <c r="C16" s="48" t="s">
        <v>268</v>
      </c>
      <c r="D16" s="206"/>
      <c r="E16" s="207">
        <f>SUM(E69)</f>
        <v>2400096</v>
      </c>
      <c r="F16" s="208">
        <f>SUM(F69)</f>
        <v>2163608.75</v>
      </c>
      <c r="G16" s="228">
        <f>SUM(F16/E16)</f>
        <v>0.9015</v>
      </c>
      <c r="H16" s="210"/>
      <c r="I16" s="196"/>
    </row>
    <row r="17" spans="2:9" s="51" customFormat="1" ht="14.25" customHeight="1">
      <c r="B17" s="199"/>
      <c r="C17" s="200"/>
      <c r="D17" s="201"/>
      <c r="E17" s="202"/>
      <c r="F17" s="203"/>
      <c r="G17" s="204"/>
      <c r="H17" s="198"/>
      <c r="I17" s="196"/>
    </row>
    <row r="18" spans="2:9" s="51" customFormat="1" ht="14.25" customHeight="1">
      <c r="B18" s="218">
        <v>700</v>
      </c>
      <c r="C18" s="48" t="s">
        <v>269</v>
      </c>
      <c r="D18" s="206"/>
      <c r="E18" s="207">
        <f>SUM(E75)</f>
        <v>4335600</v>
      </c>
      <c r="F18" s="208">
        <f>SUM(F75)</f>
        <v>4720841.79</v>
      </c>
      <c r="G18" s="228">
        <f>SUM(F18/E18)</f>
        <v>1.0889</v>
      </c>
      <c r="H18" s="210"/>
      <c r="I18" s="196"/>
    </row>
    <row r="19" spans="2:9" s="51" customFormat="1" ht="14.25" customHeight="1">
      <c r="B19" s="199"/>
      <c r="C19" s="200"/>
      <c r="D19" s="201"/>
      <c r="E19" s="202"/>
      <c r="F19" s="203"/>
      <c r="G19" s="204"/>
      <c r="H19" s="198"/>
      <c r="I19" s="196"/>
    </row>
    <row r="20" spans="2:9" s="51" customFormat="1" ht="14.25" customHeight="1">
      <c r="B20" s="218">
        <v>710</v>
      </c>
      <c r="C20" s="48" t="s">
        <v>2</v>
      </c>
      <c r="D20" s="206"/>
      <c r="E20" s="207">
        <f>SUM(E83)</f>
        <v>3110</v>
      </c>
      <c r="F20" s="208">
        <f>SUM(F83)</f>
        <v>53785.18</v>
      </c>
      <c r="G20" s="228">
        <f>SUM(F20/E20)</f>
        <v>17.2943</v>
      </c>
      <c r="H20" s="210"/>
      <c r="I20" s="196"/>
    </row>
    <row r="21" spans="2:9" s="51" customFormat="1" ht="14.25" customHeight="1">
      <c r="B21" s="199"/>
      <c r="C21" s="200"/>
      <c r="D21" s="201"/>
      <c r="E21" s="202"/>
      <c r="F21" s="203"/>
      <c r="G21" s="204"/>
      <c r="H21" s="198"/>
      <c r="I21" s="196"/>
    </row>
    <row r="22" spans="2:9" s="51" customFormat="1" ht="14.25" customHeight="1">
      <c r="B22" s="199"/>
      <c r="C22" s="200"/>
      <c r="D22" s="201"/>
      <c r="E22" s="202"/>
      <c r="F22" s="203"/>
      <c r="G22" s="228"/>
      <c r="H22" s="198"/>
      <c r="I22" s="196"/>
    </row>
    <row r="23" spans="2:9" s="51" customFormat="1" ht="14.25" customHeight="1">
      <c r="B23" s="229">
        <v>750</v>
      </c>
      <c r="C23" s="230" t="s">
        <v>270</v>
      </c>
      <c r="D23" s="231"/>
      <c r="E23" s="168">
        <f>SUM(E87+E208)</f>
        <v>747014</v>
      </c>
      <c r="F23" s="169">
        <f>SUM(F87+F208)</f>
        <v>314677</v>
      </c>
      <c r="G23" s="228">
        <f>SUM(F23/E23)</f>
        <v>0.4212</v>
      </c>
      <c r="H23" s="232"/>
      <c r="I23" s="196"/>
    </row>
    <row r="24" spans="2:9" s="51" customFormat="1" ht="14.25" customHeight="1">
      <c r="B24" s="199"/>
      <c r="C24" s="233"/>
      <c r="D24" s="234"/>
      <c r="E24" s="164"/>
      <c r="F24" s="235"/>
      <c r="G24" s="204"/>
      <c r="H24" s="232"/>
      <c r="I24" s="196"/>
    </row>
    <row r="25" spans="2:9" s="51" customFormat="1" ht="14.25" customHeight="1">
      <c r="B25" s="199"/>
      <c r="C25" s="236" t="s">
        <v>105</v>
      </c>
      <c r="D25" s="237"/>
      <c r="E25" s="166"/>
      <c r="F25" s="238"/>
      <c r="G25" s="228"/>
      <c r="H25" s="232"/>
      <c r="I25" s="196"/>
    </row>
    <row r="26" spans="2:9" s="51" customFormat="1" ht="14.25" customHeight="1">
      <c r="B26" s="229">
        <v>751</v>
      </c>
      <c r="C26" s="230" t="s">
        <v>106</v>
      </c>
      <c r="D26" s="231"/>
      <c r="E26" s="168">
        <f>SUM(E217)</f>
        <v>71314</v>
      </c>
      <c r="F26" s="169">
        <f>SUM(F217)</f>
        <v>70437.13</v>
      </c>
      <c r="G26" s="228">
        <f>SUM(F26/E26)</f>
        <v>0.9877</v>
      </c>
      <c r="H26" s="232"/>
      <c r="I26" s="196"/>
    </row>
    <row r="27" spans="2:9" s="51" customFormat="1" ht="14.25" customHeight="1">
      <c r="B27" s="163"/>
      <c r="C27" s="236"/>
      <c r="D27" s="237"/>
      <c r="E27" s="166"/>
      <c r="F27" s="238"/>
      <c r="G27" s="204"/>
      <c r="H27" s="239"/>
      <c r="I27" s="196"/>
    </row>
    <row r="28" spans="2:9" s="51" customFormat="1" ht="14.25" customHeight="1">
      <c r="B28" s="199">
        <v>754</v>
      </c>
      <c r="C28" s="236" t="s">
        <v>271</v>
      </c>
      <c r="D28" s="237"/>
      <c r="E28" s="166"/>
      <c r="F28" s="238"/>
      <c r="G28" s="228"/>
      <c r="H28" s="232"/>
      <c r="I28" s="196"/>
    </row>
    <row r="29" spans="2:9" s="51" customFormat="1" ht="14.25" customHeight="1">
      <c r="B29" s="240"/>
      <c r="C29" s="230" t="s">
        <v>284</v>
      </c>
      <c r="D29" s="231"/>
      <c r="E29" s="168">
        <f>SUM(E98)</f>
        <v>30031</v>
      </c>
      <c r="F29" s="169">
        <f>SUM(F98)</f>
        <v>39089.2</v>
      </c>
      <c r="G29" s="228">
        <f>SUM(F29/E29)</f>
        <v>1.3016</v>
      </c>
      <c r="H29" s="232"/>
      <c r="I29" s="196"/>
    </row>
    <row r="30" spans="2:9" s="51" customFormat="1" ht="14.25" customHeight="1">
      <c r="B30" s="199"/>
      <c r="C30" s="236"/>
      <c r="D30" s="237"/>
      <c r="E30" s="166"/>
      <c r="F30" s="238"/>
      <c r="G30" s="204"/>
      <c r="H30" s="232"/>
      <c r="I30" s="196"/>
    </row>
    <row r="31" spans="2:9" s="51" customFormat="1" ht="14.25" customHeight="1">
      <c r="B31" s="199">
        <v>756</v>
      </c>
      <c r="C31" s="236" t="s">
        <v>285</v>
      </c>
      <c r="D31" s="237"/>
      <c r="E31" s="166"/>
      <c r="F31" s="238"/>
      <c r="G31" s="228"/>
      <c r="H31" s="232"/>
      <c r="I31" s="196"/>
    </row>
    <row r="32" spans="2:9" s="51" customFormat="1" ht="14.25" customHeight="1">
      <c r="B32" s="199"/>
      <c r="C32" s="236" t="s">
        <v>152</v>
      </c>
      <c r="D32" s="237"/>
      <c r="E32" s="166"/>
      <c r="F32" s="238"/>
      <c r="G32" s="228"/>
      <c r="H32" s="232"/>
      <c r="I32" s="196"/>
    </row>
    <row r="33" spans="2:9" s="51" customFormat="1" ht="14.25" customHeight="1">
      <c r="B33" s="199"/>
      <c r="C33" s="236" t="s">
        <v>154</v>
      </c>
      <c r="D33" s="237"/>
      <c r="E33" s="241"/>
      <c r="F33" s="242"/>
      <c r="G33" s="228"/>
      <c r="H33" s="232"/>
      <c r="I33" s="196"/>
    </row>
    <row r="34" spans="2:9" s="51" customFormat="1" ht="14.25" customHeight="1">
      <c r="B34" s="218"/>
      <c r="C34" s="230" t="s">
        <v>153</v>
      </c>
      <c r="D34" s="231"/>
      <c r="E34" s="168">
        <f>SUM(E109)</f>
        <v>52843171</v>
      </c>
      <c r="F34" s="169">
        <f>SUM(F109)</f>
        <v>56779218.18</v>
      </c>
      <c r="G34" s="228">
        <f>SUM(F34/E34)</f>
        <v>1.0745</v>
      </c>
      <c r="H34" s="232"/>
      <c r="I34" s="196"/>
    </row>
    <row r="35" spans="2:9" s="51" customFormat="1" ht="14.25" customHeight="1">
      <c r="B35" s="199"/>
      <c r="C35" s="236"/>
      <c r="D35" s="237"/>
      <c r="E35" s="166"/>
      <c r="F35" s="238"/>
      <c r="G35" s="204"/>
      <c r="H35" s="232"/>
      <c r="I35" s="196"/>
    </row>
    <row r="36" spans="2:9" s="51" customFormat="1" ht="14.25" customHeight="1">
      <c r="B36" s="229">
        <v>758</v>
      </c>
      <c r="C36" s="243" t="s">
        <v>286</v>
      </c>
      <c r="D36" s="231"/>
      <c r="E36" s="168">
        <f>SUM(E128)</f>
        <v>14430925</v>
      </c>
      <c r="F36" s="169">
        <f>SUM(F128)</f>
        <v>14413304.42</v>
      </c>
      <c r="G36" s="228">
        <f>SUM(F36/E36)</f>
        <v>0.9988</v>
      </c>
      <c r="H36" s="232"/>
      <c r="I36" s="196"/>
    </row>
    <row r="37" spans="2:9" s="51" customFormat="1" ht="14.25" customHeight="1">
      <c r="B37" s="244"/>
      <c r="C37" s="233"/>
      <c r="D37" s="234"/>
      <c r="E37" s="164"/>
      <c r="F37" s="235"/>
      <c r="G37" s="204"/>
      <c r="H37" s="232"/>
      <c r="I37" s="196"/>
    </row>
    <row r="38" spans="2:9" s="51" customFormat="1" ht="14.25" customHeight="1">
      <c r="B38" s="229">
        <v>801</v>
      </c>
      <c r="C38" s="230" t="s">
        <v>287</v>
      </c>
      <c r="D38" s="231"/>
      <c r="E38" s="168">
        <f>SUM(E136)</f>
        <v>699402</v>
      </c>
      <c r="F38" s="169">
        <f>SUM(F136)</f>
        <v>672907.61</v>
      </c>
      <c r="G38" s="228">
        <f>SUM(F38/E38)</f>
        <v>0.9621</v>
      </c>
      <c r="H38" s="232"/>
      <c r="I38" s="196"/>
    </row>
    <row r="39" spans="1:9" s="51" customFormat="1" ht="14.25" customHeight="1">
      <c r="A39" s="196"/>
      <c r="B39" s="245"/>
      <c r="C39" s="246"/>
      <c r="D39" s="237"/>
      <c r="E39" s="166"/>
      <c r="F39" s="238"/>
      <c r="G39" s="204"/>
      <c r="H39" s="232"/>
      <c r="I39" s="196"/>
    </row>
    <row r="40" spans="1:9" s="51" customFormat="1" ht="14.25" customHeight="1">
      <c r="A40" s="196"/>
      <c r="B40" s="229">
        <v>851</v>
      </c>
      <c r="C40" s="243" t="s">
        <v>288</v>
      </c>
      <c r="D40" s="231"/>
      <c r="E40" s="168">
        <f>SUM(E148+E233)</f>
        <v>12183</v>
      </c>
      <c r="F40" s="169">
        <f>SUM(F148+F233)</f>
        <v>12437.63</v>
      </c>
      <c r="G40" s="228">
        <f>SUM(F40/E40)</f>
        <v>1.0209</v>
      </c>
      <c r="H40" s="232"/>
      <c r="I40" s="196"/>
    </row>
    <row r="41" spans="1:9" s="181" customFormat="1" ht="14.25" customHeight="1">
      <c r="A41" s="247"/>
      <c r="B41" s="248"/>
      <c r="C41" s="249"/>
      <c r="D41" s="250"/>
      <c r="E41" s="184"/>
      <c r="F41" s="251"/>
      <c r="G41" s="252"/>
      <c r="H41" s="253"/>
      <c r="I41" s="247"/>
    </row>
    <row r="42" spans="1:9" s="181" customFormat="1" ht="14.25" customHeight="1">
      <c r="A42" s="247"/>
      <c r="B42" s="229">
        <v>852</v>
      </c>
      <c r="C42" s="243" t="s">
        <v>151</v>
      </c>
      <c r="D42" s="231"/>
      <c r="E42" s="168">
        <f>SUM(E152+E241)</f>
        <v>11167403</v>
      </c>
      <c r="F42" s="169">
        <f>SUM(F152+F241)</f>
        <v>10876517.98</v>
      </c>
      <c r="G42" s="228">
        <f>SUM(F42/E42)</f>
        <v>0.974</v>
      </c>
      <c r="H42" s="253"/>
      <c r="I42" s="247"/>
    </row>
    <row r="43" spans="1:9" s="51" customFormat="1" ht="14.25" customHeight="1">
      <c r="A43" s="196"/>
      <c r="B43" s="245"/>
      <c r="C43" s="246"/>
      <c r="D43" s="237"/>
      <c r="E43" s="166"/>
      <c r="F43" s="238"/>
      <c r="G43" s="204"/>
      <c r="H43" s="232"/>
      <c r="I43" s="196"/>
    </row>
    <row r="44" spans="1:9" s="51" customFormat="1" ht="14.25" customHeight="1">
      <c r="A44" s="196"/>
      <c r="B44" s="229">
        <v>854</v>
      </c>
      <c r="C44" s="230" t="s">
        <v>289</v>
      </c>
      <c r="D44" s="231"/>
      <c r="E44" s="168">
        <f>SUM(E167)</f>
        <v>192516</v>
      </c>
      <c r="F44" s="169">
        <f>SUM(F167)</f>
        <v>192516</v>
      </c>
      <c r="G44" s="228">
        <f>SUM(F44/E44)</f>
        <v>1</v>
      </c>
      <c r="H44" s="232"/>
      <c r="I44" s="196"/>
    </row>
    <row r="45" spans="1:9" s="51" customFormat="1" ht="14.25" customHeight="1">
      <c r="A45" s="196"/>
      <c r="B45" s="245"/>
      <c r="C45" s="246"/>
      <c r="D45" s="237"/>
      <c r="E45" s="166"/>
      <c r="F45" s="238"/>
      <c r="G45" s="204"/>
      <c r="H45" s="232"/>
      <c r="I45" s="196"/>
    </row>
    <row r="46" spans="1:9" s="51" customFormat="1" ht="14.25" customHeight="1">
      <c r="A46" s="196"/>
      <c r="B46" s="245">
        <v>900</v>
      </c>
      <c r="C46" s="246" t="s">
        <v>39</v>
      </c>
      <c r="D46" s="237"/>
      <c r="E46" s="241"/>
      <c r="F46" s="242"/>
      <c r="G46" s="228"/>
      <c r="H46" s="232"/>
      <c r="I46" s="196"/>
    </row>
    <row r="47" spans="1:9" s="51" customFormat="1" ht="14.25" customHeight="1">
      <c r="A47" s="196"/>
      <c r="B47" s="229"/>
      <c r="C47" s="243" t="s">
        <v>40</v>
      </c>
      <c r="D47" s="231"/>
      <c r="E47" s="168">
        <f>SUM(E172)</f>
        <v>16648542</v>
      </c>
      <c r="F47" s="169">
        <f>SUM(F172)</f>
        <v>16738451.98</v>
      </c>
      <c r="G47" s="228">
        <f>SUM(F47/E47)</f>
        <v>1.0054</v>
      </c>
      <c r="H47" s="232"/>
      <c r="I47" s="196"/>
    </row>
    <row r="48" spans="2:9" s="51" customFormat="1" ht="14.25" customHeight="1">
      <c r="B48" s="199"/>
      <c r="C48" s="236"/>
      <c r="D48" s="237"/>
      <c r="E48" s="166"/>
      <c r="F48" s="238"/>
      <c r="G48" s="204"/>
      <c r="H48" s="232"/>
      <c r="I48" s="196"/>
    </row>
    <row r="49" spans="2:9" s="51" customFormat="1" ht="14.25" customHeight="1">
      <c r="B49" s="218">
        <v>921</v>
      </c>
      <c r="C49" s="230" t="s">
        <v>79</v>
      </c>
      <c r="D49" s="231"/>
      <c r="E49" s="168">
        <f>SUM(E183)</f>
        <v>31472</v>
      </c>
      <c r="F49" s="169">
        <f>SUM(F183)</f>
        <v>31940.99</v>
      </c>
      <c r="G49" s="228">
        <f>SUM(F49/E49)</f>
        <v>1.0149</v>
      </c>
      <c r="H49" s="232"/>
      <c r="I49" s="196"/>
    </row>
    <row r="50" spans="2:9" s="51" customFormat="1" ht="14.25" customHeight="1">
      <c r="B50" s="199"/>
      <c r="C50" s="236"/>
      <c r="D50" s="237"/>
      <c r="E50" s="166"/>
      <c r="F50" s="238"/>
      <c r="G50" s="204"/>
      <c r="H50" s="232"/>
      <c r="I50" s="196"/>
    </row>
    <row r="51" spans="2:9" s="254" customFormat="1" ht="14.25" customHeight="1" thickBot="1">
      <c r="B51" s="255">
        <v>926</v>
      </c>
      <c r="C51" s="256" t="s">
        <v>108</v>
      </c>
      <c r="D51" s="257"/>
      <c r="E51" s="172">
        <f>SUM(E190)</f>
        <v>3000</v>
      </c>
      <c r="F51" s="173">
        <f>SUM(F190)</f>
        <v>3000</v>
      </c>
      <c r="G51" s="258">
        <f>SUM(F51/E51)</f>
        <v>1</v>
      </c>
      <c r="H51" s="259"/>
      <c r="I51" s="260"/>
    </row>
    <row r="52" spans="2:9" s="51" customFormat="1" ht="14.25" customHeight="1">
      <c r="B52" s="261"/>
      <c r="C52" s="561" t="s">
        <v>290</v>
      </c>
      <c r="D52" s="262"/>
      <c r="E52" s="263"/>
      <c r="F52" s="264"/>
      <c r="G52" s="265"/>
      <c r="H52" s="232"/>
      <c r="I52" s="196"/>
    </row>
    <row r="53" spans="2:10" s="51" customFormat="1" ht="14.25" customHeight="1" thickBot="1">
      <c r="B53" s="266"/>
      <c r="C53" s="562"/>
      <c r="D53" s="267"/>
      <c r="E53" s="268">
        <f>SUM(E8:E51)</f>
        <v>115190048</v>
      </c>
      <c r="F53" s="269">
        <f>SUM(F8:F51)</f>
        <v>115214360.84</v>
      </c>
      <c r="G53" s="270">
        <f>SUM(F53/E53)</f>
        <v>1.0002</v>
      </c>
      <c r="H53" s="271"/>
      <c r="I53" s="272"/>
      <c r="J53" s="273"/>
    </row>
    <row r="54" spans="1:9" s="194" customFormat="1" ht="18.75" customHeight="1">
      <c r="A54" s="274" t="s">
        <v>119</v>
      </c>
      <c r="B54" s="274"/>
      <c r="C54" s="274"/>
      <c r="D54" s="275"/>
      <c r="E54" s="274"/>
      <c r="F54" s="274"/>
      <c r="G54" s="274"/>
      <c r="I54" s="276"/>
    </row>
    <row r="55" spans="1:9" s="51" customFormat="1" ht="14.25" customHeight="1" thickBot="1">
      <c r="A55" s="277"/>
      <c r="B55" s="278"/>
      <c r="C55" s="278"/>
      <c r="D55" s="279"/>
      <c r="E55" s="280"/>
      <c r="F55" s="280"/>
      <c r="G55" s="280" t="s">
        <v>124</v>
      </c>
      <c r="I55" s="196"/>
    </row>
    <row r="56" spans="1:9" s="283" customFormat="1" ht="14.25" customHeight="1">
      <c r="A56" s="568" t="s">
        <v>265</v>
      </c>
      <c r="B56" s="563" t="s">
        <v>291</v>
      </c>
      <c r="C56" s="570" t="s">
        <v>292</v>
      </c>
      <c r="D56" s="574"/>
      <c r="E56" s="570" t="s">
        <v>234</v>
      </c>
      <c r="F56" s="570" t="s">
        <v>128</v>
      </c>
      <c r="G56" s="576" t="s">
        <v>41</v>
      </c>
      <c r="H56" s="281"/>
      <c r="I56" s="282"/>
    </row>
    <row r="57" spans="1:9" s="285" customFormat="1" ht="14.25" customHeight="1">
      <c r="A57" s="569"/>
      <c r="B57" s="564"/>
      <c r="C57" s="572"/>
      <c r="D57" s="575"/>
      <c r="E57" s="572"/>
      <c r="F57" s="572"/>
      <c r="G57" s="560"/>
      <c r="H57" s="284"/>
      <c r="I57" s="284"/>
    </row>
    <row r="58" spans="1:9" s="288" customFormat="1" ht="14.25" customHeight="1" thickBot="1">
      <c r="A58" s="519">
        <v>1</v>
      </c>
      <c r="B58" s="524">
        <v>2</v>
      </c>
      <c r="C58" s="520">
        <v>3</v>
      </c>
      <c r="D58" s="521"/>
      <c r="E58" s="525">
        <v>4</v>
      </c>
      <c r="F58" s="524">
        <v>5</v>
      </c>
      <c r="G58" s="523">
        <v>6</v>
      </c>
      <c r="H58" s="286"/>
      <c r="I58" s="287"/>
    </row>
    <row r="59" spans="1:9" s="51" customFormat="1" ht="14.25" customHeight="1">
      <c r="A59" s="289"/>
      <c r="B59" s="290"/>
      <c r="C59" s="291"/>
      <c r="D59" s="292"/>
      <c r="E59" s="293"/>
      <c r="F59" s="290"/>
      <c r="G59" s="294"/>
      <c r="H59" s="197"/>
      <c r="I59" s="196"/>
    </row>
    <row r="60" spans="1:9" s="51" customFormat="1" ht="14.25" customHeight="1">
      <c r="A60" s="199">
        <v>400</v>
      </c>
      <c r="B60" s="295"/>
      <c r="C60" s="225" t="s">
        <v>148</v>
      </c>
      <c r="D60" s="201"/>
      <c r="E60" s="293"/>
      <c r="F60" s="290"/>
      <c r="G60" s="294"/>
      <c r="H60" s="197"/>
      <c r="I60" s="196"/>
    </row>
    <row r="61" spans="1:9" s="51" customFormat="1" ht="14.25" customHeight="1">
      <c r="A61" s="245"/>
      <c r="B61" s="296"/>
      <c r="C61" s="48" t="s">
        <v>149</v>
      </c>
      <c r="D61" s="206"/>
      <c r="E61" s="297">
        <f>SUM(E62:E63)</f>
        <v>10660444</v>
      </c>
      <c r="F61" s="298">
        <f>SUM(F62:F63)</f>
        <v>7855184.33</v>
      </c>
      <c r="G61" s="209">
        <f>SUM(F61/E61)</f>
        <v>0.7369</v>
      </c>
      <c r="H61" s="197"/>
      <c r="I61" s="196"/>
    </row>
    <row r="62" spans="1:9" s="303" customFormat="1" ht="14.25" customHeight="1">
      <c r="A62" s="299"/>
      <c r="B62" s="213"/>
      <c r="C62" s="213"/>
      <c r="D62" s="214"/>
      <c r="E62" s="300"/>
      <c r="F62" s="301"/>
      <c r="G62" s="302"/>
      <c r="H62" s="300"/>
      <c r="I62" s="246"/>
    </row>
    <row r="63" spans="1:9" s="303" customFormat="1" ht="14.25" customHeight="1" thickBot="1">
      <c r="A63" s="304"/>
      <c r="B63" s="305">
        <v>40002</v>
      </c>
      <c r="C63" s="49" t="s">
        <v>75</v>
      </c>
      <c r="D63" s="306"/>
      <c r="E63" s="307">
        <v>10660444</v>
      </c>
      <c r="F63" s="308">
        <v>7855184.33</v>
      </c>
      <c r="G63" s="228">
        <f>SUM(F63/E63)</f>
        <v>0.7369</v>
      </c>
      <c r="H63" s="309"/>
      <c r="I63" s="246"/>
    </row>
    <row r="64" spans="1:9" s="303" customFormat="1" ht="14.25" customHeight="1" thickTop="1">
      <c r="A64" s="310"/>
      <c r="B64" s="311"/>
      <c r="C64" s="312"/>
      <c r="D64" s="201"/>
      <c r="E64" s="313"/>
      <c r="F64" s="314"/>
      <c r="G64" s="315"/>
      <c r="H64" s="309"/>
      <c r="I64" s="246"/>
    </row>
    <row r="65" spans="1:9" s="303" customFormat="1" ht="14.25" customHeight="1">
      <c r="A65" s="199">
        <v>600</v>
      </c>
      <c r="B65" s="316" t="s">
        <v>232</v>
      </c>
      <c r="C65" s="581" t="s">
        <v>267</v>
      </c>
      <c r="D65" s="582"/>
      <c r="E65" s="317">
        <f>SUM(E67)</f>
        <v>667966</v>
      </c>
      <c r="F65" s="318">
        <f>SUM(F67)</f>
        <v>30583.82</v>
      </c>
      <c r="G65" s="209">
        <f>SUM(F65/E65)</f>
        <v>0.0458</v>
      </c>
      <c r="H65" s="309"/>
      <c r="I65" s="246"/>
    </row>
    <row r="66" spans="1:9" s="303" customFormat="1" ht="14.25" customHeight="1">
      <c r="A66" s="199"/>
      <c r="B66" s="319"/>
      <c r="C66" s="225"/>
      <c r="D66" s="320"/>
      <c r="E66" s="309"/>
      <c r="F66" s="227"/>
      <c r="G66" s="321"/>
      <c r="H66" s="309"/>
      <c r="I66" s="246"/>
    </row>
    <row r="67" spans="1:9" s="303" customFormat="1" ht="14.25" customHeight="1" thickBot="1">
      <c r="A67" s="322"/>
      <c r="B67" s="305">
        <v>60016</v>
      </c>
      <c r="C67" s="583" t="s">
        <v>76</v>
      </c>
      <c r="D67" s="577"/>
      <c r="E67" s="307">
        <v>667966</v>
      </c>
      <c r="F67" s="308">
        <v>30583.82</v>
      </c>
      <c r="G67" s="323">
        <f>SUM(F67/E67)</f>
        <v>0.0458</v>
      </c>
      <c r="H67" s="309"/>
      <c r="I67" s="246"/>
    </row>
    <row r="68" spans="1:9" s="303" customFormat="1" ht="14.25" customHeight="1" thickTop="1">
      <c r="A68" s="299"/>
      <c r="B68" s="324"/>
      <c r="C68" s="225"/>
      <c r="D68" s="320"/>
      <c r="E68" s="309"/>
      <c r="F68" s="227"/>
      <c r="G68" s="228"/>
      <c r="H68" s="309"/>
      <c r="I68" s="246"/>
    </row>
    <row r="69" spans="1:9" s="303" customFormat="1" ht="14.25" customHeight="1">
      <c r="A69" s="310">
        <v>630</v>
      </c>
      <c r="B69" s="316"/>
      <c r="C69" s="325" t="s">
        <v>268</v>
      </c>
      <c r="D69" s="326"/>
      <c r="E69" s="317">
        <f>SUM(E71+E73)</f>
        <v>2400096</v>
      </c>
      <c r="F69" s="208">
        <f>SUM(F71+F73)</f>
        <v>2163608.75</v>
      </c>
      <c r="G69" s="209">
        <f>SUM(F69/E69)</f>
        <v>0.9015</v>
      </c>
      <c r="H69" s="309"/>
      <c r="I69" s="246"/>
    </row>
    <row r="70" spans="1:9" s="303" customFormat="1" ht="14.25" customHeight="1">
      <c r="A70" s="310"/>
      <c r="B70" s="327"/>
      <c r="C70" s="328"/>
      <c r="D70" s="329"/>
      <c r="E70" s="309"/>
      <c r="F70" s="227"/>
      <c r="G70" s="228"/>
      <c r="H70" s="309"/>
      <c r="I70" s="246"/>
    </row>
    <row r="71" spans="1:9" s="303" customFormat="1" ht="14.25" customHeight="1">
      <c r="A71" s="310"/>
      <c r="B71" s="330">
        <v>63003</v>
      </c>
      <c r="C71" s="325" t="s">
        <v>77</v>
      </c>
      <c r="D71" s="326"/>
      <c r="E71" s="317">
        <v>2196802</v>
      </c>
      <c r="F71" s="318">
        <v>1961480.57</v>
      </c>
      <c r="G71" s="209">
        <f>SUM(F71/E71)</f>
        <v>0.8929</v>
      </c>
      <c r="H71" s="309"/>
      <c r="I71" s="246"/>
    </row>
    <row r="72" spans="1:9" s="303" customFormat="1" ht="14.25" customHeight="1">
      <c r="A72" s="310"/>
      <c r="B72" s="327"/>
      <c r="C72" s="328"/>
      <c r="D72" s="329"/>
      <c r="E72" s="309"/>
      <c r="F72" s="227"/>
      <c r="G72" s="228"/>
      <c r="H72" s="309"/>
      <c r="I72" s="246"/>
    </row>
    <row r="73" spans="1:9" s="303" customFormat="1" ht="14.25" customHeight="1" thickBot="1">
      <c r="A73" s="304"/>
      <c r="B73" s="331">
        <v>63095</v>
      </c>
      <c r="C73" s="332" t="s">
        <v>139</v>
      </c>
      <c r="D73" s="333"/>
      <c r="E73" s="307">
        <v>203294</v>
      </c>
      <c r="F73" s="308">
        <v>202128.18</v>
      </c>
      <c r="G73" s="323">
        <f>SUM(F73/E73)</f>
        <v>0.9943</v>
      </c>
      <c r="H73" s="309"/>
      <c r="I73" s="246"/>
    </row>
    <row r="74" spans="1:9" s="303" customFormat="1" ht="14.25" customHeight="1" thickTop="1">
      <c r="A74" s="310"/>
      <c r="B74" s="295"/>
      <c r="C74" s="225"/>
      <c r="D74" s="201"/>
      <c r="E74" s="309"/>
      <c r="F74" s="227"/>
      <c r="G74" s="228"/>
      <c r="H74" s="309"/>
      <c r="I74" s="246"/>
    </row>
    <row r="75" spans="1:9" s="303" customFormat="1" ht="14.25" customHeight="1">
      <c r="A75" s="199">
        <v>700</v>
      </c>
      <c r="B75" s="296"/>
      <c r="C75" s="230" t="s">
        <v>269</v>
      </c>
      <c r="D75" s="231"/>
      <c r="E75" s="334">
        <f>SUM(E77:E81)</f>
        <v>4335600</v>
      </c>
      <c r="F75" s="335">
        <f>SUM(F77:F81)</f>
        <v>4720841.79</v>
      </c>
      <c r="G75" s="209">
        <f>SUM(F75/E75)</f>
        <v>1.0889</v>
      </c>
      <c r="H75" s="336"/>
      <c r="I75" s="246"/>
    </row>
    <row r="76" spans="1:9" s="303" customFormat="1" ht="14.25" customHeight="1">
      <c r="A76" s="199"/>
      <c r="B76" s="295"/>
      <c r="C76" s="236"/>
      <c r="D76" s="237"/>
      <c r="E76" s="336"/>
      <c r="F76" s="238"/>
      <c r="G76" s="228"/>
      <c r="H76" s="336"/>
      <c r="I76" s="246"/>
    </row>
    <row r="77" spans="1:9" s="303" customFormat="1" ht="14.25" customHeight="1">
      <c r="A77" s="199"/>
      <c r="B77" s="296">
        <v>70001</v>
      </c>
      <c r="C77" s="230" t="s">
        <v>69</v>
      </c>
      <c r="D77" s="231"/>
      <c r="E77" s="334">
        <v>3062000</v>
      </c>
      <c r="F77" s="335">
        <v>3062000</v>
      </c>
      <c r="G77" s="209">
        <f>SUM(F77/E77)</f>
        <v>1</v>
      </c>
      <c r="H77" s="336"/>
      <c r="I77" s="246"/>
    </row>
    <row r="78" spans="1:9" s="303" customFormat="1" ht="14.25" customHeight="1">
      <c r="A78" s="199"/>
      <c r="B78" s="295"/>
      <c r="C78" s="236"/>
      <c r="D78" s="237"/>
      <c r="E78" s="336"/>
      <c r="F78" s="238"/>
      <c r="G78" s="228"/>
      <c r="H78" s="336"/>
      <c r="I78" s="246"/>
    </row>
    <row r="79" spans="1:9" s="303" customFormat="1" ht="14.25" customHeight="1">
      <c r="A79" s="199"/>
      <c r="B79" s="296">
        <v>70005</v>
      </c>
      <c r="C79" s="230" t="s">
        <v>78</v>
      </c>
      <c r="D79" s="231"/>
      <c r="E79" s="334">
        <v>772000</v>
      </c>
      <c r="F79" s="335">
        <v>1109330.75</v>
      </c>
      <c r="G79" s="209">
        <f>SUM(F79/E79)</f>
        <v>1.437</v>
      </c>
      <c r="H79" s="336"/>
      <c r="I79" s="246"/>
    </row>
    <row r="80" spans="1:9" s="303" customFormat="1" ht="14.25" customHeight="1">
      <c r="A80" s="199"/>
      <c r="B80" s="295"/>
      <c r="C80" s="236"/>
      <c r="D80" s="237"/>
      <c r="E80" s="336"/>
      <c r="F80" s="238"/>
      <c r="G80" s="228"/>
      <c r="H80" s="336"/>
      <c r="I80" s="246"/>
    </row>
    <row r="81" spans="1:9" s="303" customFormat="1" ht="14.25" customHeight="1" thickBot="1">
      <c r="A81" s="337"/>
      <c r="B81" s="305">
        <v>70095</v>
      </c>
      <c r="C81" s="338" t="s">
        <v>81</v>
      </c>
      <c r="D81" s="339"/>
      <c r="E81" s="340">
        <v>501600</v>
      </c>
      <c r="F81" s="341">
        <v>549511.04</v>
      </c>
      <c r="G81" s="323">
        <f>SUM(F81/E81)</f>
        <v>1.0955</v>
      </c>
      <c r="H81" s="336"/>
      <c r="I81" s="246"/>
    </row>
    <row r="82" spans="1:9" s="303" customFormat="1" ht="14.25" customHeight="1" thickTop="1">
      <c r="A82" s="310"/>
      <c r="B82" s="295"/>
      <c r="C82" s="225"/>
      <c r="D82" s="201"/>
      <c r="E82" s="309"/>
      <c r="F82" s="227"/>
      <c r="G82" s="228"/>
      <c r="H82" s="309"/>
      <c r="I82" s="246"/>
    </row>
    <row r="83" spans="1:9" s="303" customFormat="1" ht="14.25" customHeight="1">
      <c r="A83" s="199">
        <v>710</v>
      </c>
      <c r="B83" s="296"/>
      <c r="C83" s="230" t="s">
        <v>2</v>
      </c>
      <c r="D83" s="231"/>
      <c r="E83" s="334">
        <f>SUM(E85)</f>
        <v>3110</v>
      </c>
      <c r="F83" s="169">
        <f>SUM(F85)</f>
        <v>53785.18</v>
      </c>
      <c r="G83" s="209">
        <f>SUM(F83/E83)</f>
        <v>17.2943</v>
      </c>
      <c r="H83" s="336"/>
      <c r="I83" s="246"/>
    </row>
    <row r="84" spans="1:9" s="303" customFormat="1" ht="14.25" customHeight="1">
      <c r="A84" s="199"/>
      <c r="B84" s="295"/>
      <c r="C84" s="236"/>
      <c r="D84" s="237"/>
      <c r="E84" s="336"/>
      <c r="F84" s="238"/>
      <c r="G84" s="228"/>
      <c r="H84" s="336"/>
      <c r="I84" s="246"/>
    </row>
    <row r="85" spans="1:9" s="303" customFormat="1" ht="14.25" customHeight="1" thickBot="1">
      <c r="A85" s="337"/>
      <c r="B85" s="305">
        <v>71004</v>
      </c>
      <c r="C85" s="338" t="s">
        <v>70</v>
      </c>
      <c r="D85" s="339"/>
      <c r="E85" s="340">
        <v>3110</v>
      </c>
      <c r="F85" s="341">
        <v>53785.18</v>
      </c>
      <c r="G85" s="323">
        <f>SUM(F85/E85)</f>
        <v>17.2943</v>
      </c>
      <c r="H85" s="336"/>
      <c r="I85" s="246"/>
    </row>
    <row r="86" spans="1:9" s="303" customFormat="1" ht="14.25" customHeight="1" thickTop="1">
      <c r="A86" s="199"/>
      <c r="B86" s="295"/>
      <c r="C86" s="236"/>
      <c r="D86" s="237"/>
      <c r="E86" s="336"/>
      <c r="F86" s="238"/>
      <c r="G86" s="228"/>
      <c r="H86" s="336"/>
      <c r="I86" s="246"/>
    </row>
    <row r="87" spans="1:9" s="303" customFormat="1" ht="14.25" customHeight="1">
      <c r="A87" s="199">
        <v>750</v>
      </c>
      <c r="B87" s="296"/>
      <c r="C87" s="230" t="s">
        <v>270</v>
      </c>
      <c r="D87" s="231"/>
      <c r="E87" s="334">
        <f>SUM(E88:E95)</f>
        <v>454014</v>
      </c>
      <c r="F87" s="169">
        <f>SUM(F88:F95)</f>
        <v>21677</v>
      </c>
      <c r="G87" s="209">
        <f>SUM(F87/E87)</f>
        <v>0.0477</v>
      </c>
      <c r="H87" s="336"/>
      <c r="I87" s="246"/>
    </row>
    <row r="88" spans="1:9" s="303" customFormat="1" ht="14.25" customHeight="1">
      <c r="A88" s="199"/>
      <c r="B88" s="319"/>
      <c r="C88" s="236"/>
      <c r="D88" s="237"/>
      <c r="E88" s="336"/>
      <c r="F88" s="238"/>
      <c r="G88" s="228"/>
      <c r="H88" s="336"/>
      <c r="I88" s="246"/>
    </row>
    <row r="89" spans="1:9" s="303" customFormat="1" ht="14.25" customHeight="1">
      <c r="A89" s="199"/>
      <c r="B89" s="316">
        <v>75011</v>
      </c>
      <c r="C89" s="581" t="s">
        <v>123</v>
      </c>
      <c r="D89" s="582"/>
      <c r="E89" s="334">
        <v>9000</v>
      </c>
      <c r="F89" s="335">
        <v>9699.92</v>
      </c>
      <c r="G89" s="209">
        <f>SUM(F89/E89)</f>
        <v>1.0778</v>
      </c>
      <c r="H89" s="336"/>
      <c r="I89" s="246"/>
    </row>
    <row r="90" spans="1:9" s="303" customFormat="1" ht="14.25" customHeight="1">
      <c r="A90" s="199"/>
      <c r="B90" s="342"/>
      <c r="C90" s="343"/>
      <c r="D90" s="344"/>
      <c r="E90" s="345"/>
      <c r="F90" s="346"/>
      <c r="G90" s="204"/>
      <c r="H90" s="336"/>
      <c r="I90" s="246"/>
    </row>
    <row r="91" spans="1:9" s="303" customFormat="1" ht="14.25" customHeight="1">
      <c r="A91" s="199"/>
      <c r="B91" s="296">
        <v>75023</v>
      </c>
      <c r="C91" s="581" t="s">
        <v>230</v>
      </c>
      <c r="D91" s="582"/>
      <c r="E91" s="334">
        <v>1600</v>
      </c>
      <c r="F91" s="335">
        <v>3122.08</v>
      </c>
      <c r="G91" s="209">
        <f>SUM(F91/E91)</f>
        <v>1.9513</v>
      </c>
      <c r="H91" s="336"/>
      <c r="I91" s="246"/>
    </row>
    <row r="92" spans="1:9" s="303" customFormat="1" ht="14.25" customHeight="1">
      <c r="A92" s="199"/>
      <c r="B92" s="342"/>
      <c r="C92" s="343"/>
      <c r="D92" s="344"/>
      <c r="E92" s="345"/>
      <c r="F92" s="346"/>
      <c r="G92" s="347"/>
      <c r="H92" s="336"/>
      <c r="I92" s="246"/>
    </row>
    <row r="93" spans="1:9" s="303" customFormat="1" ht="14.25" customHeight="1">
      <c r="A93" s="199"/>
      <c r="B93" s="296">
        <v>75075</v>
      </c>
      <c r="C93" s="581" t="s">
        <v>144</v>
      </c>
      <c r="D93" s="582"/>
      <c r="E93" s="334">
        <v>168830</v>
      </c>
      <c r="F93" s="335">
        <v>0</v>
      </c>
      <c r="G93" s="209">
        <f>SUM(F93/E93)</f>
        <v>0</v>
      </c>
      <c r="H93" s="336"/>
      <c r="I93" s="246"/>
    </row>
    <row r="94" spans="1:9" s="303" customFormat="1" ht="14.25" customHeight="1">
      <c r="A94" s="245"/>
      <c r="B94" s="348"/>
      <c r="C94" s="225"/>
      <c r="D94" s="320"/>
      <c r="E94" s="336"/>
      <c r="F94" s="238"/>
      <c r="G94" s="228"/>
      <c r="H94" s="336"/>
      <c r="I94" s="246"/>
    </row>
    <row r="95" spans="1:9" s="303" customFormat="1" ht="14.25" customHeight="1" thickBot="1">
      <c r="A95" s="337"/>
      <c r="B95" s="305">
        <v>75095</v>
      </c>
      <c r="C95" s="583" t="s">
        <v>81</v>
      </c>
      <c r="D95" s="577"/>
      <c r="E95" s="340">
        <v>274584</v>
      </c>
      <c r="F95" s="341">
        <v>8855</v>
      </c>
      <c r="G95" s="323">
        <f>SUM(F95/E95)</f>
        <v>0.0322</v>
      </c>
      <c r="H95" s="336"/>
      <c r="I95" s="246"/>
    </row>
    <row r="96" spans="1:9" s="303" customFormat="1" ht="14.25" customHeight="1" thickTop="1">
      <c r="A96" s="199"/>
      <c r="B96" s="295"/>
      <c r="C96" s="236"/>
      <c r="D96" s="237"/>
      <c r="E96" s="336"/>
      <c r="F96" s="238"/>
      <c r="G96" s="228"/>
      <c r="H96" s="336"/>
      <c r="I96" s="246"/>
    </row>
    <row r="97" spans="1:9" s="303" customFormat="1" ht="14.25" customHeight="1">
      <c r="A97" s="199">
        <v>754</v>
      </c>
      <c r="B97" s="295"/>
      <c r="C97" s="236" t="s">
        <v>82</v>
      </c>
      <c r="D97" s="237"/>
      <c r="E97" s="336"/>
      <c r="F97" s="238"/>
      <c r="G97" s="228"/>
      <c r="H97" s="336"/>
      <c r="I97" s="246"/>
    </row>
    <row r="98" spans="1:9" s="303" customFormat="1" ht="14.25" customHeight="1">
      <c r="A98" s="199"/>
      <c r="B98" s="296"/>
      <c r="C98" s="230" t="s">
        <v>83</v>
      </c>
      <c r="D98" s="231"/>
      <c r="E98" s="334">
        <f>SUM(E99:E104)</f>
        <v>30031</v>
      </c>
      <c r="F98" s="169">
        <f>SUM(F99:F104)</f>
        <v>39089.2</v>
      </c>
      <c r="G98" s="209">
        <f>SUM(F98/E98)</f>
        <v>1.3016</v>
      </c>
      <c r="H98" s="336"/>
      <c r="I98" s="246"/>
    </row>
    <row r="99" spans="1:9" s="303" customFormat="1" ht="14.25" customHeight="1">
      <c r="A99" s="199"/>
      <c r="B99" s="295"/>
      <c r="C99" s="236"/>
      <c r="D99" s="237"/>
      <c r="E99" s="336"/>
      <c r="F99" s="238"/>
      <c r="G99" s="228"/>
      <c r="H99" s="336"/>
      <c r="I99" s="246"/>
    </row>
    <row r="100" spans="1:9" s="303" customFormat="1" ht="14.25" customHeight="1">
      <c r="A100" s="199"/>
      <c r="B100" s="296">
        <v>75412</v>
      </c>
      <c r="C100" s="581" t="s">
        <v>93</v>
      </c>
      <c r="D100" s="582"/>
      <c r="E100" s="334">
        <v>24</v>
      </c>
      <c r="F100" s="335">
        <v>24</v>
      </c>
      <c r="G100" s="209">
        <f>SUM(F100/E100)</f>
        <v>1</v>
      </c>
      <c r="H100" s="336"/>
      <c r="I100" s="246"/>
    </row>
    <row r="101" spans="1:9" s="303" customFormat="1" ht="14.25" customHeight="1">
      <c r="A101" s="199"/>
      <c r="B101" s="295"/>
      <c r="C101" s="236"/>
      <c r="D101" s="237"/>
      <c r="E101" s="336"/>
      <c r="F101" s="238"/>
      <c r="G101" s="228"/>
      <c r="H101" s="336"/>
      <c r="I101" s="246"/>
    </row>
    <row r="102" spans="1:9" s="303" customFormat="1" ht="14.25" customHeight="1">
      <c r="A102" s="199"/>
      <c r="B102" s="296">
        <v>75416</v>
      </c>
      <c r="C102" s="581" t="s">
        <v>84</v>
      </c>
      <c r="D102" s="582"/>
      <c r="E102" s="334">
        <v>20007</v>
      </c>
      <c r="F102" s="335">
        <v>29065.2</v>
      </c>
      <c r="G102" s="209">
        <f>SUM(F102/E102)</f>
        <v>1.4528</v>
      </c>
      <c r="H102" s="336"/>
      <c r="I102" s="246"/>
    </row>
    <row r="103" spans="1:9" s="303" customFormat="1" ht="14.25" customHeight="1">
      <c r="A103" s="199"/>
      <c r="B103" s="295"/>
      <c r="C103" s="236"/>
      <c r="D103" s="237"/>
      <c r="E103" s="336"/>
      <c r="F103" s="238"/>
      <c r="G103" s="228"/>
      <c r="H103" s="336"/>
      <c r="I103" s="246"/>
    </row>
    <row r="104" spans="1:9" s="303" customFormat="1" ht="14.25" customHeight="1" thickBot="1">
      <c r="A104" s="337"/>
      <c r="B104" s="305">
        <v>75495</v>
      </c>
      <c r="C104" s="338" t="s">
        <v>81</v>
      </c>
      <c r="D104" s="339"/>
      <c r="E104" s="340">
        <v>10000</v>
      </c>
      <c r="F104" s="341">
        <v>10000</v>
      </c>
      <c r="G104" s="323">
        <f>SUM(F104/E104)</f>
        <v>1</v>
      </c>
      <c r="H104" s="336"/>
      <c r="I104" s="246"/>
    </row>
    <row r="105" spans="1:9" s="303" customFormat="1" ht="14.25" customHeight="1" thickTop="1">
      <c r="A105" s="199"/>
      <c r="B105" s="295"/>
      <c r="C105" s="236"/>
      <c r="D105" s="237"/>
      <c r="E105" s="336"/>
      <c r="F105" s="238"/>
      <c r="G105" s="349"/>
      <c r="H105" s="336"/>
      <c r="I105" s="246"/>
    </row>
    <row r="106" spans="1:9" s="303" customFormat="1" ht="14.25" customHeight="1">
      <c r="A106" s="199">
        <v>756</v>
      </c>
      <c r="B106" s="295"/>
      <c r="C106" s="236" t="s">
        <v>285</v>
      </c>
      <c r="D106" s="237"/>
      <c r="E106" s="336"/>
      <c r="F106" s="238"/>
      <c r="G106" s="228"/>
      <c r="H106" s="336"/>
      <c r="I106" s="246"/>
    </row>
    <row r="107" spans="1:9" s="303" customFormat="1" ht="14.25" customHeight="1">
      <c r="A107" s="199"/>
      <c r="B107" s="295"/>
      <c r="C107" s="236" t="s">
        <v>152</v>
      </c>
      <c r="D107" s="237"/>
      <c r="E107" s="336"/>
      <c r="F107" s="238"/>
      <c r="G107" s="228"/>
      <c r="H107" s="336"/>
      <c r="I107" s="246"/>
    </row>
    <row r="108" spans="1:9" s="303" customFormat="1" ht="14.25" customHeight="1">
      <c r="A108" s="199"/>
      <c r="B108" s="295"/>
      <c r="C108" s="236" t="s">
        <v>154</v>
      </c>
      <c r="D108" s="237"/>
      <c r="E108" s="336"/>
      <c r="F108" s="238"/>
      <c r="G108" s="228"/>
      <c r="H108" s="336"/>
      <c r="I108" s="246"/>
    </row>
    <row r="109" spans="1:9" s="303" customFormat="1" ht="14.25" customHeight="1">
      <c r="A109" s="199"/>
      <c r="B109" s="296"/>
      <c r="C109" s="230" t="s">
        <v>153</v>
      </c>
      <c r="D109" s="231"/>
      <c r="E109" s="334">
        <f>SUM(E110:E125)</f>
        <v>52843171</v>
      </c>
      <c r="F109" s="335">
        <f>SUM(F110:F125)</f>
        <v>56779218.18</v>
      </c>
      <c r="G109" s="209">
        <f>SUM(F109/E109)</f>
        <v>1.0745</v>
      </c>
      <c r="H109" s="336"/>
      <c r="I109" s="246"/>
    </row>
    <row r="110" spans="1:9" s="303" customFormat="1" ht="14.25" customHeight="1">
      <c r="A110" s="199"/>
      <c r="B110" s="295"/>
      <c r="C110" s="236"/>
      <c r="D110" s="237"/>
      <c r="E110" s="336"/>
      <c r="F110" s="350"/>
      <c r="G110" s="228"/>
      <c r="H110" s="336"/>
      <c r="I110" s="246"/>
    </row>
    <row r="111" spans="1:9" s="303" customFormat="1" ht="14.25" customHeight="1">
      <c r="A111" s="199"/>
      <c r="B111" s="296">
        <v>75601</v>
      </c>
      <c r="C111" s="230" t="s">
        <v>156</v>
      </c>
      <c r="D111" s="231"/>
      <c r="E111" s="334">
        <v>202551</v>
      </c>
      <c r="F111" s="335">
        <v>173470.45</v>
      </c>
      <c r="G111" s="209">
        <f>SUM(F111/E111)</f>
        <v>0.8564</v>
      </c>
      <c r="H111" s="336"/>
      <c r="I111" s="246"/>
    </row>
    <row r="112" spans="1:9" s="303" customFormat="1" ht="14.25" customHeight="1">
      <c r="A112" s="199"/>
      <c r="B112" s="295"/>
      <c r="C112" s="236"/>
      <c r="D112" s="237"/>
      <c r="E112" s="336"/>
      <c r="F112" s="238"/>
      <c r="G112" s="228"/>
      <c r="H112" s="336"/>
      <c r="I112" s="246"/>
    </row>
    <row r="113" spans="1:9" s="303" customFormat="1" ht="14.25" customHeight="1">
      <c r="A113" s="199"/>
      <c r="B113" s="295">
        <v>75615</v>
      </c>
      <c r="C113" s="236" t="s">
        <v>42</v>
      </c>
      <c r="D113" s="237"/>
      <c r="E113" s="336"/>
      <c r="F113" s="238"/>
      <c r="G113" s="228"/>
      <c r="H113" s="336"/>
      <c r="I113" s="246"/>
    </row>
    <row r="114" spans="1:9" s="303" customFormat="1" ht="14.25" customHeight="1">
      <c r="A114" s="199"/>
      <c r="B114" s="295"/>
      <c r="C114" s="236" t="s">
        <v>43</v>
      </c>
      <c r="D114" s="237"/>
      <c r="E114" s="336"/>
      <c r="F114" s="238"/>
      <c r="G114" s="228"/>
      <c r="H114" s="336"/>
      <c r="I114" s="246"/>
    </row>
    <row r="115" spans="1:9" s="303" customFormat="1" ht="14.25" customHeight="1">
      <c r="A115" s="199"/>
      <c r="B115" s="296"/>
      <c r="C115" s="230" t="s">
        <v>138</v>
      </c>
      <c r="D115" s="231"/>
      <c r="E115" s="334">
        <v>33714578</v>
      </c>
      <c r="F115" s="335">
        <v>34601061.18</v>
      </c>
      <c r="G115" s="209">
        <f>SUM(F115/E115)</f>
        <v>1.0263</v>
      </c>
      <c r="H115" s="336"/>
      <c r="I115" s="246"/>
    </row>
    <row r="116" spans="1:9" s="303" customFormat="1" ht="14.25" customHeight="1">
      <c r="A116" s="199"/>
      <c r="B116" s="351"/>
      <c r="C116" s="233"/>
      <c r="D116" s="234"/>
      <c r="E116" s="336"/>
      <c r="F116" s="238"/>
      <c r="G116" s="228"/>
      <c r="H116" s="336"/>
      <c r="I116" s="246"/>
    </row>
    <row r="117" spans="1:9" s="303" customFormat="1" ht="14.25" customHeight="1">
      <c r="A117" s="199"/>
      <c r="B117" s="295">
        <v>75616</v>
      </c>
      <c r="C117" s="236" t="s">
        <v>44</v>
      </c>
      <c r="D117" s="237" t="s">
        <v>45</v>
      </c>
      <c r="E117" s="336"/>
      <c r="F117" s="238"/>
      <c r="G117" s="228"/>
      <c r="H117" s="336"/>
      <c r="I117" s="246"/>
    </row>
    <row r="118" spans="1:9" s="303" customFormat="1" ht="14.25" customHeight="1">
      <c r="A118" s="199"/>
      <c r="B118" s="295"/>
      <c r="C118" s="236" t="s">
        <v>46</v>
      </c>
      <c r="D118" s="237"/>
      <c r="E118" s="336"/>
      <c r="F118" s="238"/>
      <c r="G118" s="228"/>
      <c r="H118" s="336"/>
      <c r="I118" s="246"/>
    </row>
    <row r="119" spans="1:9" s="303" customFormat="1" ht="16.5" customHeight="1">
      <c r="A119" s="199"/>
      <c r="B119" s="296"/>
      <c r="C119" s="230" t="s">
        <v>47</v>
      </c>
      <c r="D119" s="231"/>
      <c r="E119" s="334">
        <v>3098500</v>
      </c>
      <c r="F119" s="335">
        <v>3767689.4</v>
      </c>
      <c r="G119" s="209">
        <f>SUM(F119/E119)</f>
        <v>1.216</v>
      </c>
      <c r="H119" s="336"/>
      <c r="I119" s="246"/>
    </row>
    <row r="120" spans="1:9" s="303" customFormat="1" ht="14.25" customHeight="1">
      <c r="A120" s="245"/>
      <c r="B120" s="352"/>
      <c r="C120" s="236"/>
      <c r="D120" s="237"/>
      <c r="E120" s="336"/>
      <c r="F120" s="238"/>
      <c r="G120" s="228"/>
      <c r="H120" s="336"/>
      <c r="I120" s="246"/>
    </row>
    <row r="121" spans="1:9" s="303" customFormat="1" ht="14.25" customHeight="1">
      <c r="A121" s="245"/>
      <c r="B121" s="352">
        <v>75618</v>
      </c>
      <c r="C121" s="236" t="s">
        <v>85</v>
      </c>
      <c r="D121" s="237"/>
      <c r="E121" s="336"/>
      <c r="F121" s="238"/>
      <c r="G121" s="228"/>
      <c r="H121" s="336"/>
      <c r="I121" s="246"/>
    </row>
    <row r="122" spans="1:9" s="303" customFormat="1" ht="14.25" customHeight="1">
      <c r="A122" s="245"/>
      <c r="B122" s="353"/>
      <c r="C122" s="230" t="s">
        <v>125</v>
      </c>
      <c r="D122" s="231"/>
      <c r="E122" s="334">
        <v>795902</v>
      </c>
      <c r="F122" s="335">
        <v>1092261.81</v>
      </c>
      <c r="G122" s="209">
        <f>SUM(F122/E122)</f>
        <v>1.3724</v>
      </c>
      <c r="H122" s="336"/>
      <c r="I122" s="246"/>
    </row>
    <row r="123" spans="1:9" s="303" customFormat="1" ht="14.25" customHeight="1">
      <c r="A123" s="245"/>
      <c r="B123" s="319"/>
      <c r="C123" s="233"/>
      <c r="D123" s="234"/>
      <c r="E123" s="354"/>
      <c r="F123" s="235"/>
      <c r="G123" s="228"/>
      <c r="H123" s="336"/>
      <c r="I123" s="246"/>
    </row>
    <row r="124" spans="1:9" s="303" customFormat="1" ht="14.25" customHeight="1">
      <c r="A124" s="245"/>
      <c r="B124" s="295">
        <v>75621</v>
      </c>
      <c r="C124" s="236" t="s">
        <v>48</v>
      </c>
      <c r="D124" s="237"/>
      <c r="E124" s="336"/>
      <c r="F124" s="238"/>
      <c r="G124" s="228"/>
      <c r="H124" s="336"/>
      <c r="I124" s="246"/>
    </row>
    <row r="125" spans="1:9" s="303" customFormat="1" ht="14.25" customHeight="1" thickBot="1">
      <c r="A125" s="355"/>
      <c r="B125" s="356"/>
      <c r="C125" s="357" t="s">
        <v>86</v>
      </c>
      <c r="D125" s="358"/>
      <c r="E125" s="359">
        <v>15031640</v>
      </c>
      <c r="F125" s="360">
        <v>17144735.34</v>
      </c>
      <c r="G125" s="361">
        <f>SUM(F125/E125)</f>
        <v>1.1406</v>
      </c>
      <c r="H125" s="336"/>
      <c r="I125" s="246"/>
    </row>
    <row r="126" spans="1:9" s="288" customFormat="1" ht="14.25" customHeight="1">
      <c r="A126" s="518">
        <v>1</v>
      </c>
      <c r="B126" s="50">
        <v>2</v>
      </c>
      <c r="C126" s="565">
        <v>3</v>
      </c>
      <c r="D126" s="558"/>
      <c r="E126" s="526">
        <v>4</v>
      </c>
      <c r="F126" s="527">
        <v>5</v>
      </c>
      <c r="G126" s="528">
        <v>6</v>
      </c>
      <c r="H126" s="362"/>
      <c r="I126" s="287"/>
    </row>
    <row r="127" spans="1:9" s="303" customFormat="1" ht="14.25" customHeight="1">
      <c r="A127" s="199"/>
      <c r="B127" s="295"/>
      <c r="C127" s="236"/>
      <c r="D127" s="237"/>
      <c r="E127" s="336"/>
      <c r="F127" s="350"/>
      <c r="G127" s="363"/>
      <c r="H127" s="336"/>
      <c r="I127" s="246"/>
    </row>
    <row r="128" spans="1:9" s="303" customFormat="1" ht="14.25" customHeight="1">
      <c r="A128" s="199">
        <v>758</v>
      </c>
      <c r="B128" s="296"/>
      <c r="C128" s="230" t="s">
        <v>286</v>
      </c>
      <c r="D128" s="231"/>
      <c r="E128" s="334">
        <f>SUM(E129:E134)</f>
        <v>14430925</v>
      </c>
      <c r="F128" s="335">
        <f>SUM(F129:F134)</f>
        <v>14413304.42</v>
      </c>
      <c r="G128" s="209">
        <f>SUM(F128/E128)</f>
        <v>0.9988</v>
      </c>
      <c r="H128" s="336"/>
      <c r="I128" s="246"/>
    </row>
    <row r="129" spans="1:9" s="303" customFormat="1" ht="14.25" customHeight="1">
      <c r="A129" s="199"/>
      <c r="B129" s="295"/>
      <c r="C129" s="236"/>
      <c r="D129" s="237"/>
      <c r="E129" s="336"/>
      <c r="F129" s="238"/>
      <c r="G129" s="228"/>
      <c r="H129" s="336"/>
      <c r="I129" s="246"/>
    </row>
    <row r="130" spans="1:9" s="303" customFormat="1" ht="14.25" customHeight="1">
      <c r="A130" s="199"/>
      <c r="B130" s="296">
        <v>75801</v>
      </c>
      <c r="C130" s="230" t="s">
        <v>147</v>
      </c>
      <c r="D130" s="231"/>
      <c r="E130" s="334">
        <v>13735470</v>
      </c>
      <c r="F130" s="335">
        <v>13735470</v>
      </c>
      <c r="G130" s="209">
        <f>SUM(F130/E130)</f>
        <v>1</v>
      </c>
      <c r="H130" s="336"/>
      <c r="I130" s="246"/>
    </row>
    <row r="131" spans="1:9" s="303" customFormat="1" ht="14.25" customHeight="1">
      <c r="A131" s="199"/>
      <c r="B131" s="351"/>
      <c r="C131" s="233"/>
      <c r="D131" s="234"/>
      <c r="E131" s="354"/>
      <c r="F131" s="235"/>
      <c r="G131" s="228"/>
      <c r="H131" s="336"/>
      <c r="I131" s="246"/>
    </row>
    <row r="132" spans="1:9" s="303" customFormat="1" ht="14.25" customHeight="1">
      <c r="A132" s="199"/>
      <c r="B132" s="295">
        <v>75814</v>
      </c>
      <c r="C132" s="236" t="s">
        <v>49</v>
      </c>
      <c r="D132" s="237"/>
      <c r="E132" s="336">
        <v>200000</v>
      </c>
      <c r="F132" s="238">
        <v>182379.42</v>
      </c>
      <c r="G132" s="209">
        <f>SUM(F132/E132)</f>
        <v>0.9119</v>
      </c>
      <c r="H132" s="336"/>
      <c r="I132" s="246"/>
    </row>
    <row r="133" spans="1:9" s="303" customFormat="1" ht="14.25" customHeight="1">
      <c r="A133" s="199"/>
      <c r="B133" s="319"/>
      <c r="C133" s="233"/>
      <c r="D133" s="234"/>
      <c r="E133" s="354"/>
      <c r="F133" s="235"/>
      <c r="G133" s="228"/>
      <c r="H133" s="336"/>
      <c r="I133" s="246"/>
    </row>
    <row r="134" spans="1:9" s="303" customFormat="1" ht="14.25" customHeight="1" thickBot="1">
      <c r="A134" s="337"/>
      <c r="B134" s="364">
        <v>75831</v>
      </c>
      <c r="C134" s="338" t="s">
        <v>146</v>
      </c>
      <c r="D134" s="339"/>
      <c r="E134" s="340">
        <v>495455</v>
      </c>
      <c r="F134" s="341">
        <v>495455</v>
      </c>
      <c r="G134" s="323">
        <f>SUM(F134/E134)</f>
        <v>1</v>
      </c>
      <c r="H134" s="336"/>
      <c r="I134" s="246"/>
    </row>
    <row r="135" spans="1:9" s="303" customFormat="1" ht="14.25" customHeight="1" thickTop="1">
      <c r="A135" s="199"/>
      <c r="B135" s="295"/>
      <c r="C135" s="236"/>
      <c r="D135" s="237"/>
      <c r="E135" s="336"/>
      <c r="F135" s="238"/>
      <c r="G135" s="228"/>
      <c r="H135" s="336"/>
      <c r="I135" s="246"/>
    </row>
    <row r="136" spans="1:9" s="303" customFormat="1" ht="14.25" customHeight="1">
      <c r="A136" s="199">
        <v>801</v>
      </c>
      <c r="B136" s="296"/>
      <c r="C136" s="230" t="s">
        <v>287</v>
      </c>
      <c r="D136" s="231"/>
      <c r="E136" s="168">
        <f>SUM(E137:E146)</f>
        <v>699402</v>
      </c>
      <c r="F136" s="365">
        <f>SUM(F137:F146)</f>
        <v>672907.61</v>
      </c>
      <c r="G136" s="209">
        <f>SUM(F136/E136)</f>
        <v>0.9621</v>
      </c>
      <c r="H136" s="336"/>
      <c r="I136" s="246"/>
    </row>
    <row r="137" spans="1:9" s="303" customFormat="1" ht="14.25" customHeight="1">
      <c r="A137" s="199"/>
      <c r="B137" s="295"/>
      <c r="C137" s="236"/>
      <c r="D137" s="237"/>
      <c r="E137" s="336"/>
      <c r="F137" s="238"/>
      <c r="G137" s="228"/>
      <c r="H137" s="336"/>
      <c r="I137" s="246"/>
    </row>
    <row r="138" spans="1:9" s="303" customFormat="1" ht="14.25" customHeight="1">
      <c r="A138" s="199"/>
      <c r="B138" s="295">
        <v>80101</v>
      </c>
      <c r="C138" s="236" t="s">
        <v>87</v>
      </c>
      <c r="D138" s="237"/>
      <c r="E138" s="336">
        <v>470944</v>
      </c>
      <c r="F138" s="238">
        <v>463568.01</v>
      </c>
      <c r="G138" s="209">
        <f>SUM(F138/E138)</f>
        <v>0.9843</v>
      </c>
      <c r="H138" s="336"/>
      <c r="I138" s="246"/>
    </row>
    <row r="139" spans="1:9" s="303" customFormat="1" ht="14.25" customHeight="1">
      <c r="A139" s="199"/>
      <c r="B139" s="351"/>
      <c r="C139" s="233"/>
      <c r="D139" s="234"/>
      <c r="E139" s="354"/>
      <c r="F139" s="235"/>
      <c r="G139" s="228"/>
      <c r="H139" s="336"/>
      <c r="I139" s="246"/>
    </row>
    <row r="140" spans="1:9" s="303" customFormat="1" ht="14.25" customHeight="1">
      <c r="A140" s="199"/>
      <c r="B140" s="296">
        <v>80104</v>
      </c>
      <c r="C140" s="230" t="s">
        <v>109</v>
      </c>
      <c r="D140" s="231"/>
      <c r="E140" s="334">
        <v>42770</v>
      </c>
      <c r="F140" s="335">
        <v>39949.34</v>
      </c>
      <c r="G140" s="209">
        <f>SUM(F140/E140)</f>
        <v>0.9341</v>
      </c>
      <c r="H140" s="336"/>
      <c r="I140" s="246"/>
    </row>
    <row r="141" spans="1:9" s="303" customFormat="1" ht="14.25" customHeight="1">
      <c r="A141" s="199"/>
      <c r="B141" s="351"/>
      <c r="C141" s="233"/>
      <c r="D141" s="234"/>
      <c r="E141" s="354"/>
      <c r="F141" s="235"/>
      <c r="G141" s="204"/>
      <c r="H141" s="336"/>
      <c r="I141" s="246"/>
    </row>
    <row r="142" spans="1:9" s="303" customFormat="1" ht="13.5" customHeight="1">
      <c r="A142" s="245"/>
      <c r="B142" s="353">
        <v>80110</v>
      </c>
      <c r="C142" s="230" t="s">
        <v>88</v>
      </c>
      <c r="D142" s="231"/>
      <c r="E142" s="334">
        <v>66883</v>
      </c>
      <c r="F142" s="335">
        <v>50585.6</v>
      </c>
      <c r="G142" s="209">
        <f>SUM(F142/E142)</f>
        <v>0.7563</v>
      </c>
      <c r="H142" s="336"/>
      <c r="I142" s="246"/>
    </row>
    <row r="143" spans="1:9" s="303" customFormat="1" ht="14.25" customHeight="1">
      <c r="A143" s="245"/>
      <c r="B143" s="366"/>
      <c r="C143" s="236"/>
      <c r="D143" s="237"/>
      <c r="E143" s="336"/>
      <c r="F143" s="238"/>
      <c r="G143" s="228"/>
      <c r="H143" s="336"/>
      <c r="I143" s="246"/>
    </row>
    <row r="144" spans="1:9" s="303" customFormat="1" ht="13.5" customHeight="1">
      <c r="A144" s="199"/>
      <c r="B144" s="316">
        <v>80146</v>
      </c>
      <c r="C144" s="230" t="s">
        <v>72</v>
      </c>
      <c r="D144" s="231"/>
      <c r="E144" s="334">
        <v>5599</v>
      </c>
      <c r="F144" s="335">
        <v>5598.66</v>
      </c>
      <c r="G144" s="209">
        <f>SUM(F144/E144)</f>
        <v>0.9999</v>
      </c>
      <c r="H144" s="336"/>
      <c r="I144" s="246"/>
    </row>
    <row r="145" spans="1:9" s="303" customFormat="1" ht="14.25" customHeight="1">
      <c r="A145" s="245"/>
      <c r="B145" s="366"/>
      <c r="C145" s="236"/>
      <c r="D145" s="237"/>
      <c r="E145" s="336"/>
      <c r="F145" s="238"/>
      <c r="G145" s="228"/>
      <c r="H145" s="336"/>
      <c r="I145" s="246"/>
    </row>
    <row r="146" spans="1:9" s="375" customFormat="1" ht="13.5" customHeight="1" thickBot="1">
      <c r="A146" s="367"/>
      <c r="B146" s="368">
        <v>80195</v>
      </c>
      <c r="C146" s="369" t="s">
        <v>81</v>
      </c>
      <c r="D146" s="370"/>
      <c r="E146" s="371">
        <v>113206</v>
      </c>
      <c r="F146" s="372">
        <v>113206</v>
      </c>
      <c r="G146" s="373">
        <f>SUM(F146/E146)</f>
        <v>1</v>
      </c>
      <c r="H146" s="345"/>
      <c r="I146" s="374"/>
    </row>
    <row r="147" spans="1:9" s="303" customFormat="1" ht="14.25" customHeight="1" thickTop="1">
      <c r="A147" s="199"/>
      <c r="B147" s="295"/>
      <c r="C147" s="236"/>
      <c r="D147" s="237"/>
      <c r="E147" s="336"/>
      <c r="F147" s="238"/>
      <c r="G147" s="228"/>
      <c r="H147" s="336"/>
      <c r="I147" s="246"/>
    </row>
    <row r="148" spans="1:9" s="303" customFormat="1" ht="14.25" customHeight="1">
      <c r="A148" s="199">
        <v>851</v>
      </c>
      <c r="B148" s="296"/>
      <c r="C148" s="230" t="s">
        <v>288</v>
      </c>
      <c r="D148" s="231"/>
      <c r="E148" s="334">
        <f>SUM(E150)</f>
        <v>10383</v>
      </c>
      <c r="F148" s="335">
        <f>SUM(F150)</f>
        <v>10637.63</v>
      </c>
      <c r="G148" s="209">
        <f>SUM(F148/E148)</f>
        <v>1.0245</v>
      </c>
      <c r="H148" s="336"/>
      <c r="I148" s="246"/>
    </row>
    <row r="149" spans="1:9" s="303" customFormat="1" ht="14.25" customHeight="1">
      <c r="A149" s="199"/>
      <c r="B149" s="295"/>
      <c r="C149" s="236"/>
      <c r="D149" s="237"/>
      <c r="E149" s="336"/>
      <c r="F149" s="350"/>
      <c r="G149" s="228"/>
      <c r="H149" s="336"/>
      <c r="I149" s="246"/>
    </row>
    <row r="150" spans="1:9" s="303" customFormat="1" ht="14.25" customHeight="1" thickBot="1">
      <c r="A150" s="337"/>
      <c r="B150" s="305">
        <v>85195</v>
      </c>
      <c r="C150" s="338" t="s">
        <v>81</v>
      </c>
      <c r="D150" s="339"/>
      <c r="E150" s="340">
        <v>10383</v>
      </c>
      <c r="F150" s="341">
        <v>10637.63</v>
      </c>
      <c r="G150" s="323">
        <f>SUM(F150/E150)</f>
        <v>1.0245</v>
      </c>
      <c r="H150" s="336"/>
      <c r="I150" s="246"/>
    </row>
    <row r="151" spans="1:9" s="303" customFormat="1" ht="14.25" customHeight="1" thickTop="1">
      <c r="A151" s="199"/>
      <c r="B151" s="295"/>
      <c r="C151" s="236"/>
      <c r="D151" s="237"/>
      <c r="E151" s="336"/>
      <c r="F151" s="238"/>
      <c r="G151" s="228"/>
      <c r="H151" s="336"/>
      <c r="I151" s="246"/>
    </row>
    <row r="152" spans="1:9" s="303" customFormat="1" ht="14.25" customHeight="1">
      <c r="A152" s="199">
        <v>852</v>
      </c>
      <c r="B152" s="316"/>
      <c r="C152" s="230" t="s">
        <v>151</v>
      </c>
      <c r="D152" s="231"/>
      <c r="E152" s="334">
        <f>SUM(E153:E165)</f>
        <v>1628012</v>
      </c>
      <c r="F152" s="169">
        <f>SUM(F153:F165)</f>
        <v>1609700.49</v>
      </c>
      <c r="G152" s="209">
        <f>SUM(F152/E152)</f>
        <v>0.9888</v>
      </c>
      <c r="H152" s="336"/>
      <c r="I152" s="246"/>
    </row>
    <row r="153" spans="1:9" s="303" customFormat="1" ht="14.25" customHeight="1">
      <c r="A153" s="199"/>
      <c r="B153" s="327"/>
      <c r="C153" s="236"/>
      <c r="D153" s="237"/>
      <c r="E153" s="354"/>
      <c r="F153" s="235"/>
      <c r="G153" s="228"/>
      <c r="H153" s="336"/>
      <c r="I153" s="246"/>
    </row>
    <row r="154" spans="1:9" s="303" customFormat="1" ht="14.25" customHeight="1">
      <c r="A154" s="199"/>
      <c r="B154" s="327">
        <v>85212</v>
      </c>
      <c r="C154" s="236" t="s">
        <v>50</v>
      </c>
      <c r="D154" s="237"/>
      <c r="E154" s="336"/>
      <c r="F154" s="238"/>
      <c r="G154" s="228"/>
      <c r="H154" s="336"/>
      <c r="I154" s="246"/>
    </row>
    <row r="155" spans="1:9" s="303" customFormat="1" ht="14.25" customHeight="1">
      <c r="A155" s="199"/>
      <c r="B155" s="316"/>
      <c r="C155" s="230" t="s">
        <v>51</v>
      </c>
      <c r="D155" s="231"/>
      <c r="E155" s="334">
        <v>28500</v>
      </c>
      <c r="F155" s="335">
        <v>4710.54</v>
      </c>
      <c r="G155" s="209">
        <f>SUM(F155/E155)</f>
        <v>0.1653</v>
      </c>
      <c r="H155" s="336"/>
      <c r="I155" s="246"/>
    </row>
    <row r="156" spans="1:9" s="303" customFormat="1" ht="14.25" customHeight="1">
      <c r="A156" s="199"/>
      <c r="B156" s="295"/>
      <c r="C156" s="236"/>
      <c r="D156" s="237"/>
      <c r="E156" s="336"/>
      <c r="F156" s="238"/>
      <c r="G156" s="349"/>
      <c r="H156" s="336"/>
      <c r="I156" s="246"/>
    </row>
    <row r="157" spans="1:9" s="303" customFormat="1" ht="14.25" customHeight="1">
      <c r="A157" s="199"/>
      <c r="B157" s="296">
        <v>85214</v>
      </c>
      <c r="C157" s="230" t="s">
        <v>257</v>
      </c>
      <c r="D157" s="231"/>
      <c r="E157" s="334">
        <v>407783</v>
      </c>
      <c r="F157" s="335">
        <v>406719.89</v>
      </c>
      <c r="G157" s="228">
        <f>SUM(F157/E157)</f>
        <v>0.9974</v>
      </c>
      <c r="H157" s="336"/>
      <c r="I157" s="246"/>
    </row>
    <row r="158" spans="1:9" s="303" customFormat="1" ht="14.25" customHeight="1">
      <c r="A158" s="199"/>
      <c r="B158" s="295"/>
      <c r="C158" s="236"/>
      <c r="D158" s="237"/>
      <c r="E158" s="336"/>
      <c r="F158" s="238"/>
      <c r="G158" s="204"/>
      <c r="H158" s="336"/>
      <c r="I158" s="246"/>
    </row>
    <row r="159" spans="1:9" s="303" customFormat="1" ht="14.25" customHeight="1">
      <c r="A159" s="199"/>
      <c r="B159" s="296">
        <v>85215</v>
      </c>
      <c r="C159" s="230" t="s">
        <v>73</v>
      </c>
      <c r="D159" s="231"/>
      <c r="E159" s="334">
        <v>79</v>
      </c>
      <c r="F159" s="335">
        <v>79.15</v>
      </c>
      <c r="G159" s="209">
        <f>SUM(F159/E159)</f>
        <v>1.0019</v>
      </c>
      <c r="H159" s="336"/>
      <c r="I159" s="246"/>
    </row>
    <row r="160" spans="1:9" s="303" customFormat="1" ht="14.25" customHeight="1">
      <c r="A160" s="199"/>
      <c r="B160" s="295"/>
      <c r="C160" s="236"/>
      <c r="D160" s="237"/>
      <c r="E160" s="336"/>
      <c r="F160" s="238"/>
      <c r="G160" s="228"/>
      <c r="H160" s="336"/>
      <c r="I160" s="246"/>
    </row>
    <row r="161" spans="1:9" s="303" customFormat="1" ht="14.25" customHeight="1">
      <c r="A161" s="199"/>
      <c r="B161" s="296">
        <v>85219</v>
      </c>
      <c r="C161" s="230" t="s">
        <v>159</v>
      </c>
      <c r="D161" s="231"/>
      <c r="E161" s="334">
        <v>598750</v>
      </c>
      <c r="F161" s="335">
        <v>598868.8</v>
      </c>
      <c r="G161" s="209">
        <f>SUM(F161/E161)</f>
        <v>1.0002</v>
      </c>
      <c r="H161" s="336"/>
      <c r="I161" s="246"/>
    </row>
    <row r="162" spans="1:9" s="303" customFormat="1" ht="14.25" customHeight="1">
      <c r="A162" s="199"/>
      <c r="B162" s="295"/>
      <c r="C162" s="236"/>
      <c r="D162" s="237"/>
      <c r="E162" s="336"/>
      <c r="F162" s="238"/>
      <c r="G162" s="228"/>
      <c r="H162" s="336"/>
      <c r="I162" s="246"/>
    </row>
    <row r="163" spans="1:9" s="303" customFormat="1" ht="14.25" customHeight="1">
      <c r="A163" s="199"/>
      <c r="B163" s="296">
        <v>85228</v>
      </c>
      <c r="C163" s="230" t="s">
        <v>155</v>
      </c>
      <c r="D163" s="231"/>
      <c r="E163" s="334">
        <v>30400</v>
      </c>
      <c r="F163" s="335">
        <v>36822.11</v>
      </c>
      <c r="G163" s="209">
        <f>SUM(F163/E163)</f>
        <v>1.2113</v>
      </c>
      <c r="H163" s="336"/>
      <c r="I163" s="246"/>
    </row>
    <row r="164" spans="1:9" s="303" customFormat="1" ht="14.25" customHeight="1">
      <c r="A164" s="199"/>
      <c r="B164" s="295"/>
      <c r="C164" s="236"/>
      <c r="D164" s="237"/>
      <c r="E164" s="336"/>
      <c r="F164" s="238"/>
      <c r="G164" s="228"/>
      <c r="H164" s="336"/>
      <c r="I164" s="246"/>
    </row>
    <row r="165" spans="1:9" s="303" customFormat="1" ht="14.25" customHeight="1" thickBot="1">
      <c r="A165" s="337"/>
      <c r="B165" s="305">
        <v>85295</v>
      </c>
      <c r="C165" s="338" t="s">
        <v>81</v>
      </c>
      <c r="D165" s="339"/>
      <c r="E165" s="340">
        <v>562500</v>
      </c>
      <c r="F165" s="341">
        <v>562500</v>
      </c>
      <c r="G165" s="323">
        <f>SUM(F165/E165)</f>
        <v>1</v>
      </c>
      <c r="H165" s="336"/>
      <c r="I165" s="246"/>
    </row>
    <row r="166" spans="1:9" s="303" customFormat="1" ht="14.25" customHeight="1" thickTop="1">
      <c r="A166" s="199"/>
      <c r="B166" s="295"/>
      <c r="C166" s="236"/>
      <c r="D166" s="237"/>
      <c r="E166" s="336"/>
      <c r="F166" s="238"/>
      <c r="G166" s="228"/>
      <c r="H166" s="336"/>
      <c r="I166" s="246"/>
    </row>
    <row r="167" spans="1:9" s="303" customFormat="1" ht="14.25" customHeight="1">
      <c r="A167" s="199">
        <v>854</v>
      </c>
      <c r="B167" s="316"/>
      <c r="C167" s="230" t="s">
        <v>289</v>
      </c>
      <c r="D167" s="231"/>
      <c r="E167" s="334">
        <f>SUM(E169)</f>
        <v>192516</v>
      </c>
      <c r="F167" s="169">
        <f>SUM(F169)</f>
        <v>192516</v>
      </c>
      <c r="G167" s="209">
        <f>SUM(F167/E167)</f>
        <v>1</v>
      </c>
      <c r="H167" s="336"/>
      <c r="I167" s="246"/>
    </row>
    <row r="168" spans="1:9" s="303" customFormat="1" ht="14.25" customHeight="1">
      <c r="A168" s="199"/>
      <c r="B168" s="327"/>
      <c r="C168" s="236"/>
      <c r="D168" s="237"/>
      <c r="E168" s="354"/>
      <c r="F168" s="235"/>
      <c r="G168" s="228"/>
      <c r="H168" s="336"/>
      <c r="I168" s="246"/>
    </row>
    <row r="169" spans="1:9" s="303" customFormat="1" ht="14.25" customHeight="1" thickBot="1">
      <c r="A169" s="337"/>
      <c r="B169" s="364">
        <v>85415</v>
      </c>
      <c r="C169" s="338" t="s">
        <v>127</v>
      </c>
      <c r="D169" s="339"/>
      <c r="E169" s="340">
        <v>192516</v>
      </c>
      <c r="F169" s="341">
        <v>192516</v>
      </c>
      <c r="G169" s="323">
        <f>SUM(F169/E169)</f>
        <v>1</v>
      </c>
      <c r="H169" s="336"/>
      <c r="I169" s="246"/>
    </row>
    <row r="170" spans="1:9" s="303" customFormat="1" ht="14.25" customHeight="1" thickTop="1">
      <c r="A170" s="199"/>
      <c r="B170" s="295"/>
      <c r="C170" s="236"/>
      <c r="D170" s="237"/>
      <c r="E170" s="336"/>
      <c r="F170" s="238"/>
      <c r="G170" s="228"/>
      <c r="H170" s="336"/>
      <c r="I170" s="246"/>
    </row>
    <row r="171" spans="1:9" s="303" customFormat="1" ht="14.25" customHeight="1">
      <c r="A171" s="199">
        <v>900</v>
      </c>
      <c r="B171" s="236"/>
      <c r="C171" s="236" t="s">
        <v>3</v>
      </c>
      <c r="D171" s="237"/>
      <c r="E171" s="336"/>
      <c r="F171" s="238"/>
      <c r="G171" s="228"/>
      <c r="H171" s="246"/>
      <c r="I171" s="246"/>
    </row>
    <row r="172" spans="1:9" s="303" customFormat="1" ht="14.25" customHeight="1">
      <c r="A172" s="199"/>
      <c r="B172" s="296"/>
      <c r="C172" s="230" t="s">
        <v>40</v>
      </c>
      <c r="D172" s="231"/>
      <c r="E172" s="334">
        <f>SUM(E174:E181)</f>
        <v>16648542</v>
      </c>
      <c r="F172" s="335">
        <f>SUM(F174:F181)</f>
        <v>16738451.98</v>
      </c>
      <c r="G172" s="209">
        <f>SUM(F172/E172)</f>
        <v>1.0054</v>
      </c>
      <c r="H172" s="336"/>
      <c r="I172" s="246"/>
    </row>
    <row r="173" spans="1:9" s="303" customFormat="1" ht="14.25" customHeight="1">
      <c r="A173" s="199"/>
      <c r="B173" s="295"/>
      <c r="C173" s="236"/>
      <c r="D173" s="237"/>
      <c r="E173" s="336"/>
      <c r="F173" s="238"/>
      <c r="G173" s="228"/>
      <c r="H173" s="336"/>
      <c r="I173" s="246"/>
    </row>
    <row r="174" spans="1:9" s="303" customFormat="1" ht="14.25" customHeight="1">
      <c r="A174" s="199"/>
      <c r="B174" s="296">
        <v>90001</v>
      </c>
      <c r="C174" s="230" t="s">
        <v>110</v>
      </c>
      <c r="D174" s="231"/>
      <c r="E174" s="334">
        <v>13681669</v>
      </c>
      <c r="F174" s="335">
        <v>13458868.46</v>
      </c>
      <c r="G174" s="209">
        <f>SUM(F174/E174)</f>
        <v>0.9837</v>
      </c>
      <c r="H174" s="336"/>
      <c r="I174" s="246"/>
    </row>
    <row r="175" spans="1:9" s="303" customFormat="1" ht="14.25" customHeight="1">
      <c r="A175" s="199"/>
      <c r="B175" s="351"/>
      <c r="C175" s="233"/>
      <c r="D175" s="234"/>
      <c r="E175" s="354"/>
      <c r="F175" s="235"/>
      <c r="G175" s="228"/>
      <c r="H175" s="336"/>
      <c r="I175" s="246"/>
    </row>
    <row r="176" spans="1:9" s="303" customFormat="1" ht="14.25" customHeight="1">
      <c r="A176" s="199"/>
      <c r="B176" s="296">
        <v>90002</v>
      </c>
      <c r="C176" s="230" t="s">
        <v>89</v>
      </c>
      <c r="D176" s="231"/>
      <c r="E176" s="334">
        <v>133217</v>
      </c>
      <c r="F176" s="335">
        <v>182988.01</v>
      </c>
      <c r="G176" s="209">
        <f>SUM(F176/E176)</f>
        <v>1.3736</v>
      </c>
      <c r="H176" s="336"/>
      <c r="I176" s="246"/>
    </row>
    <row r="177" spans="1:9" s="303" customFormat="1" ht="14.25" customHeight="1">
      <c r="A177" s="199"/>
      <c r="B177" s="295"/>
      <c r="C177" s="236"/>
      <c r="D177" s="237"/>
      <c r="E177" s="336"/>
      <c r="F177" s="238"/>
      <c r="G177" s="228"/>
      <c r="H177" s="336"/>
      <c r="I177" s="246"/>
    </row>
    <row r="178" spans="1:9" s="303" customFormat="1" ht="14.25" customHeight="1">
      <c r="A178" s="199"/>
      <c r="B178" s="295">
        <v>90020</v>
      </c>
      <c r="C178" s="236" t="s">
        <v>94</v>
      </c>
      <c r="D178" s="237"/>
      <c r="E178" s="336"/>
      <c r="F178" s="238"/>
      <c r="G178" s="228"/>
      <c r="H178" s="336"/>
      <c r="I178" s="246"/>
    </row>
    <row r="179" spans="1:9" s="303" customFormat="1" ht="14.25" customHeight="1">
      <c r="A179" s="199"/>
      <c r="B179" s="296"/>
      <c r="C179" s="230" t="s">
        <v>95</v>
      </c>
      <c r="D179" s="231"/>
      <c r="E179" s="334">
        <v>51000</v>
      </c>
      <c r="F179" s="335">
        <v>35432.28</v>
      </c>
      <c r="G179" s="209">
        <f>SUM(F179/E179)</f>
        <v>0.6948</v>
      </c>
      <c r="H179" s="336"/>
      <c r="I179" s="246"/>
    </row>
    <row r="180" spans="1:9" s="303" customFormat="1" ht="14.25" customHeight="1">
      <c r="A180" s="245"/>
      <c r="B180" s="319"/>
      <c r="C180" s="236"/>
      <c r="D180" s="237"/>
      <c r="E180" s="336"/>
      <c r="F180" s="238"/>
      <c r="G180" s="228"/>
      <c r="H180" s="336"/>
      <c r="I180" s="246"/>
    </row>
    <row r="181" spans="1:9" s="303" customFormat="1" ht="14.25" customHeight="1" thickBot="1">
      <c r="A181" s="376"/>
      <c r="B181" s="364">
        <v>90095</v>
      </c>
      <c r="C181" s="338" t="s">
        <v>81</v>
      </c>
      <c r="D181" s="339"/>
      <c r="E181" s="340">
        <v>2782656</v>
      </c>
      <c r="F181" s="341">
        <v>3061163.23</v>
      </c>
      <c r="G181" s="323">
        <f>SUM(F181/E181)</f>
        <v>1.1001</v>
      </c>
      <c r="H181" s="336"/>
      <c r="I181" s="246"/>
    </row>
    <row r="182" spans="1:9" s="303" customFormat="1" ht="14.25" customHeight="1" thickTop="1">
      <c r="A182" s="245"/>
      <c r="B182" s="352"/>
      <c r="C182" s="236"/>
      <c r="D182" s="237"/>
      <c r="E182" s="336"/>
      <c r="F182" s="238"/>
      <c r="G182" s="228"/>
      <c r="H182" s="336"/>
      <c r="I182" s="246"/>
    </row>
    <row r="183" spans="1:9" s="303" customFormat="1" ht="14.25" customHeight="1">
      <c r="A183" s="245">
        <v>921</v>
      </c>
      <c r="B183" s="377"/>
      <c r="C183" s="230" t="s">
        <v>79</v>
      </c>
      <c r="D183" s="231"/>
      <c r="E183" s="334">
        <f>SUM(E185+E187)</f>
        <v>31472</v>
      </c>
      <c r="F183" s="335">
        <f>SUM(F185+F187)</f>
        <v>31940.99</v>
      </c>
      <c r="G183" s="209">
        <f>SUM(F183/E183)</f>
        <v>1.0149</v>
      </c>
      <c r="H183" s="336"/>
      <c r="I183" s="246"/>
    </row>
    <row r="184" spans="1:9" s="303" customFormat="1" ht="14.25" customHeight="1">
      <c r="A184" s="245"/>
      <c r="B184" s="352"/>
      <c r="C184" s="236"/>
      <c r="D184" s="237"/>
      <c r="E184" s="336"/>
      <c r="F184" s="238"/>
      <c r="G184" s="228"/>
      <c r="H184" s="336"/>
      <c r="I184" s="246"/>
    </row>
    <row r="185" spans="1:9" s="303" customFormat="1" ht="14.25" customHeight="1">
      <c r="A185" s="199"/>
      <c r="B185" s="316">
        <v>92109</v>
      </c>
      <c r="C185" s="230" t="s">
        <v>122</v>
      </c>
      <c r="D185" s="231"/>
      <c r="E185" s="334">
        <v>21472</v>
      </c>
      <c r="F185" s="335">
        <v>21940.99</v>
      </c>
      <c r="G185" s="209">
        <f>SUM(F185/E185)</f>
        <v>1.0218</v>
      </c>
      <c r="H185" s="336"/>
      <c r="I185" s="246"/>
    </row>
    <row r="186" spans="1:9" s="303" customFormat="1" ht="14.25" customHeight="1">
      <c r="A186" s="199"/>
      <c r="B186" s="327"/>
      <c r="C186" s="236"/>
      <c r="D186" s="237"/>
      <c r="E186" s="336"/>
      <c r="F186" s="238"/>
      <c r="G186" s="228"/>
      <c r="H186" s="336"/>
      <c r="I186" s="246"/>
    </row>
    <row r="187" spans="1:9" s="303" customFormat="1" ht="14.25" customHeight="1" thickBot="1">
      <c r="A187" s="376"/>
      <c r="B187" s="378">
        <v>92120</v>
      </c>
      <c r="C187" s="338"/>
      <c r="D187" s="339"/>
      <c r="E187" s="340">
        <v>10000</v>
      </c>
      <c r="F187" s="341">
        <v>10000</v>
      </c>
      <c r="G187" s="323">
        <f>SUM(F187/E187)</f>
        <v>1</v>
      </c>
      <c r="H187" s="336"/>
      <c r="I187" s="246"/>
    </row>
    <row r="188" spans="1:9" s="303" customFormat="1" ht="14.25" customHeight="1" thickTop="1">
      <c r="A188" s="245">
        <v>926</v>
      </c>
      <c r="B188" s="377"/>
      <c r="C188" s="379" t="s">
        <v>108</v>
      </c>
      <c r="D188" s="231"/>
      <c r="E188" s="334">
        <f>SUM(E190)</f>
        <v>3000</v>
      </c>
      <c r="F188" s="335">
        <f>SUM(F190)</f>
        <v>3000</v>
      </c>
      <c r="G188" s="209">
        <f>SUM(F188/E188)</f>
        <v>1</v>
      </c>
      <c r="H188" s="336"/>
      <c r="I188" s="246"/>
    </row>
    <row r="189" spans="1:9" s="303" customFormat="1" ht="14.25" customHeight="1">
      <c r="A189" s="199"/>
      <c r="B189" s="319"/>
      <c r="C189" s="233"/>
      <c r="D189" s="380"/>
      <c r="E189" s="164"/>
      <c r="F189" s="165"/>
      <c r="G189" s="223"/>
      <c r="H189" s="336"/>
      <c r="I189" s="246"/>
    </row>
    <row r="190" spans="1:9" s="303" customFormat="1" ht="14.25" customHeight="1" thickBot="1">
      <c r="A190" s="199"/>
      <c r="B190" s="327">
        <v>92604</v>
      </c>
      <c r="C190" s="256" t="s">
        <v>52</v>
      </c>
      <c r="D190" s="246"/>
      <c r="E190" s="166">
        <v>3000</v>
      </c>
      <c r="F190" s="167">
        <v>3000</v>
      </c>
      <c r="G190" s="223">
        <f>SUM(F190/E190)</f>
        <v>1</v>
      </c>
      <c r="H190" s="336"/>
      <c r="I190" s="246"/>
    </row>
    <row r="191" spans="1:10" s="51" customFormat="1" ht="14.25" customHeight="1">
      <c r="A191" s="381"/>
      <c r="B191" s="382"/>
      <c r="C191" s="383"/>
      <c r="D191" s="384"/>
      <c r="E191" s="385"/>
      <c r="F191" s="386"/>
      <c r="G191" s="387"/>
      <c r="H191" s="388"/>
      <c r="I191" s="196"/>
      <c r="J191" s="389"/>
    </row>
    <row r="192" spans="1:9" s="398" customFormat="1" ht="14.25" customHeight="1" thickBot="1">
      <c r="A192" s="390"/>
      <c r="B192" s="391"/>
      <c r="C192" s="392" t="s">
        <v>290</v>
      </c>
      <c r="D192" s="393"/>
      <c r="E192" s="394">
        <f>SUM(E61+E65+E69+E75+E87+E98+E109+E128+E136+E148+E152+E172+E183+E167+E83+E188)</f>
        <v>105038684</v>
      </c>
      <c r="F192" s="395">
        <f>SUM(F61+F65+F69+F75+F87+F98+F109+F128+F136+F148+F152+F172+F183+F167+F83+F188)</f>
        <v>105336447.37</v>
      </c>
      <c r="G192" s="396">
        <f>SUM(F192/E192)</f>
        <v>1.0028</v>
      </c>
      <c r="H192" s="397"/>
      <c r="I192" s="239"/>
    </row>
    <row r="193" spans="1:9" s="51" customFormat="1" ht="15" customHeight="1">
      <c r="A193" s="559" t="s">
        <v>68</v>
      </c>
      <c r="B193" s="559"/>
      <c r="C193" s="559"/>
      <c r="D193" s="559"/>
      <c r="E193" s="559"/>
      <c r="F193" s="559"/>
      <c r="G193" s="559"/>
      <c r="H193" s="399"/>
      <c r="I193" s="196"/>
    </row>
    <row r="194" spans="1:9" s="51" customFormat="1" ht="15.75" customHeight="1">
      <c r="A194" s="559" t="s">
        <v>53</v>
      </c>
      <c r="B194" s="559"/>
      <c r="C194" s="559"/>
      <c r="D194" s="559"/>
      <c r="E194" s="559"/>
      <c r="F194" s="559"/>
      <c r="G194" s="559"/>
      <c r="H194" s="399"/>
      <c r="I194" s="196"/>
    </row>
    <row r="195" spans="1:9" s="51" customFormat="1" ht="14.25" customHeight="1" thickBot="1">
      <c r="A195" s="400"/>
      <c r="B195" s="400"/>
      <c r="C195" s="400"/>
      <c r="D195" s="401"/>
      <c r="E195" s="400"/>
      <c r="F195" s="400"/>
      <c r="G195" s="400"/>
      <c r="H195" s="399"/>
      <c r="I195" s="196"/>
    </row>
    <row r="196" spans="1:9" s="404" customFormat="1" ht="14.25" customHeight="1">
      <c r="A196" s="568" t="s">
        <v>265</v>
      </c>
      <c r="B196" s="563" t="s">
        <v>291</v>
      </c>
      <c r="C196" s="563" t="s">
        <v>90</v>
      </c>
      <c r="D196" s="563" t="s">
        <v>292</v>
      </c>
      <c r="E196" s="570" t="s">
        <v>234</v>
      </c>
      <c r="F196" s="570" t="s">
        <v>128</v>
      </c>
      <c r="G196" s="576" t="s">
        <v>54</v>
      </c>
      <c r="H196" s="402"/>
      <c r="I196" s="403"/>
    </row>
    <row r="197" spans="1:9" s="406" customFormat="1" ht="14.25" customHeight="1">
      <c r="A197" s="569"/>
      <c r="B197" s="564"/>
      <c r="C197" s="564"/>
      <c r="D197" s="564"/>
      <c r="E197" s="572"/>
      <c r="F197" s="572"/>
      <c r="G197" s="560"/>
      <c r="H197" s="405"/>
      <c r="I197" s="405"/>
    </row>
    <row r="198" spans="1:9" s="288" customFormat="1" ht="14.25" customHeight="1" thickBot="1">
      <c r="A198" s="546">
        <v>1</v>
      </c>
      <c r="B198" s="520">
        <v>2</v>
      </c>
      <c r="C198" s="547">
        <v>3</v>
      </c>
      <c r="D198" s="547">
        <v>4</v>
      </c>
      <c r="E198" s="525">
        <v>5</v>
      </c>
      <c r="F198" s="524">
        <v>6</v>
      </c>
      <c r="G198" s="523">
        <v>7</v>
      </c>
      <c r="H198" s="286"/>
      <c r="I198" s="287"/>
    </row>
    <row r="199" spans="1:9" s="303" customFormat="1" ht="14.25" customHeight="1">
      <c r="A199" s="310"/>
      <c r="B199" s="200"/>
      <c r="C199" s="211"/>
      <c r="D199" s="211"/>
      <c r="E199" s="407"/>
      <c r="F199" s="408"/>
      <c r="G199" s="212"/>
      <c r="H199" s="409"/>
      <c r="I199" s="246"/>
    </row>
    <row r="200" spans="1:9" s="303" customFormat="1" ht="14.25" customHeight="1">
      <c r="A200" s="410" t="s">
        <v>293</v>
      </c>
      <c r="B200" s="296"/>
      <c r="C200" s="411"/>
      <c r="D200" s="411" t="s">
        <v>1</v>
      </c>
      <c r="E200" s="334">
        <f>SUM(E202)</f>
        <v>859</v>
      </c>
      <c r="F200" s="335">
        <f>SUM(F202)</f>
        <v>858.85</v>
      </c>
      <c r="G200" s="209">
        <f>SUM(F200/E200)</f>
        <v>0.9998</v>
      </c>
      <c r="H200" s="336"/>
      <c r="I200" s="246"/>
    </row>
    <row r="201" spans="1:9" s="303" customFormat="1" ht="14.25" customHeight="1">
      <c r="A201" s="199"/>
      <c r="B201" s="295"/>
      <c r="C201" s="412"/>
      <c r="D201" s="412"/>
      <c r="E201" s="336"/>
      <c r="F201" s="238"/>
      <c r="G201" s="228"/>
      <c r="H201" s="336"/>
      <c r="I201" s="246"/>
    </row>
    <row r="202" spans="1:9" s="303" customFormat="1" ht="14.25" customHeight="1">
      <c r="A202" s="199"/>
      <c r="B202" s="413" t="s">
        <v>229</v>
      </c>
      <c r="C202" s="411"/>
      <c r="D202" s="411" t="s">
        <v>81</v>
      </c>
      <c r="E202" s="334">
        <f>SUM(E206)</f>
        <v>859</v>
      </c>
      <c r="F202" s="335">
        <f>SUM(F206)</f>
        <v>858.85</v>
      </c>
      <c r="G202" s="209">
        <f>SUM(F202/E202)</f>
        <v>0.9998</v>
      </c>
      <c r="H202" s="336"/>
      <c r="I202" s="246"/>
    </row>
    <row r="203" spans="1:9" s="303" customFormat="1" ht="14.25" customHeight="1">
      <c r="A203" s="199"/>
      <c r="B203" s="295"/>
      <c r="C203" s="412"/>
      <c r="D203" s="412"/>
      <c r="E203" s="336"/>
      <c r="F203" s="238"/>
      <c r="G203" s="228"/>
      <c r="H203" s="336"/>
      <c r="I203" s="246"/>
    </row>
    <row r="204" spans="1:9" s="303" customFormat="1" ht="14.25" customHeight="1">
      <c r="A204" s="199"/>
      <c r="B204" s="295"/>
      <c r="C204" s="327">
        <v>2010</v>
      </c>
      <c r="D204" s="412" t="s">
        <v>102</v>
      </c>
      <c r="E204" s="336"/>
      <c r="F204" s="238"/>
      <c r="G204" s="228"/>
      <c r="H204" s="336"/>
      <c r="I204" s="246"/>
    </row>
    <row r="205" spans="1:9" s="303" customFormat="1" ht="14.25" customHeight="1">
      <c r="A205" s="199"/>
      <c r="B205" s="295"/>
      <c r="C205" s="327"/>
      <c r="D205" s="412" t="s">
        <v>103</v>
      </c>
      <c r="E205" s="336"/>
      <c r="F205" s="238"/>
      <c r="G205" s="228"/>
      <c r="H205" s="336"/>
      <c r="I205" s="246"/>
    </row>
    <row r="206" spans="1:9" s="303" customFormat="1" ht="14.25" customHeight="1" thickBot="1">
      <c r="A206" s="337"/>
      <c r="B206" s="305"/>
      <c r="C206" s="364"/>
      <c r="D206" s="414" t="s">
        <v>104</v>
      </c>
      <c r="E206" s="340">
        <v>859</v>
      </c>
      <c r="F206" s="341">
        <v>858.85</v>
      </c>
      <c r="G206" s="323">
        <f>SUM(F206/E206)</f>
        <v>0.9998</v>
      </c>
      <c r="H206" s="336"/>
      <c r="I206" s="246"/>
    </row>
    <row r="207" spans="1:9" s="303" customFormat="1" ht="14.25" customHeight="1" thickTop="1">
      <c r="A207" s="310"/>
      <c r="B207" s="200"/>
      <c r="C207" s="211"/>
      <c r="D207" s="211"/>
      <c r="E207" s="409"/>
      <c r="F207" s="200"/>
      <c r="G207" s="212"/>
      <c r="H207" s="409"/>
      <c r="I207" s="246"/>
    </row>
    <row r="208" spans="1:9" s="303" customFormat="1" ht="14.25" customHeight="1">
      <c r="A208" s="199">
        <v>750</v>
      </c>
      <c r="B208" s="296"/>
      <c r="C208" s="411"/>
      <c r="D208" s="411" t="s">
        <v>270</v>
      </c>
      <c r="E208" s="334">
        <f>SUM(E210)</f>
        <v>293000</v>
      </c>
      <c r="F208" s="335">
        <f>SUM(F210)</f>
        <v>293000</v>
      </c>
      <c r="G208" s="209">
        <f>SUM(F208/E208)</f>
        <v>1</v>
      </c>
      <c r="H208" s="336"/>
      <c r="I208" s="246"/>
    </row>
    <row r="209" spans="1:9" s="303" customFormat="1" ht="14.25" customHeight="1">
      <c r="A209" s="199"/>
      <c r="B209" s="295"/>
      <c r="C209" s="412"/>
      <c r="D209" s="412"/>
      <c r="E209" s="336"/>
      <c r="F209" s="238"/>
      <c r="G209" s="228"/>
      <c r="H209" s="336"/>
      <c r="I209" s="246"/>
    </row>
    <row r="210" spans="1:9" s="303" customFormat="1" ht="14.25" customHeight="1">
      <c r="A210" s="245"/>
      <c r="B210" s="295">
        <v>75011</v>
      </c>
      <c r="C210" s="411"/>
      <c r="D210" s="411" t="s">
        <v>123</v>
      </c>
      <c r="E210" s="334">
        <f>SUM(E214)</f>
        <v>293000</v>
      </c>
      <c r="F210" s="335">
        <f>SUM(F214)</f>
        <v>293000</v>
      </c>
      <c r="G210" s="209">
        <f>SUM(F210/E210)</f>
        <v>1</v>
      </c>
      <c r="H210" s="336"/>
      <c r="I210" s="246"/>
    </row>
    <row r="211" spans="1:9" s="303" customFormat="1" ht="14.25" customHeight="1">
      <c r="A211" s="199"/>
      <c r="B211" s="295"/>
      <c r="C211" s="412"/>
      <c r="D211" s="412"/>
      <c r="E211" s="336"/>
      <c r="F211" s="238"/>
      <c r="G211" s="228"/>
      <c r="H211" s="336"/>
      <c r="I211" s="246"/>
    </row>
    <row r="212" spans="1:9" s="303" customFormat="1" ht="14.25" customHeight="1">
      <c r="A212" s="199"/>
      <c r="B212" s="295"/>
      <c r="C212" s="327">
        <v>2010</v>
      </c>
      <c r="D212" s="412" t="s">
        <v>102</v>
      </c>
      <c r="E212" s="336"/>
      <c r="F212" s="238"/>
      <c r="G212" s="228"/>
      <c r="H212" s="336"/>
      <c r="I212" s="246"/>
    </row>
    <row r="213" spans="1:9" s="303" customFormat="1" ht="14.25" customHeight="1">
      <c r="A213" s="199"/>
      <c r="B213" s="295"/>
      <c r="C213" s="327"/>
      <c r="D213" s="412" t="s">
        <v>103</v>
      </c>
      <c r="E213" s="336"/>
      <c r="F213" s="238"/>
      <c r="G213" s="228"/>
      <c r="H213" s="336"/>
      <c r="I213" s="246"/>
    </row>
    <row r="214" spans="1:9" s="303" customFormat="1" ht="14.25" customHeight="1" thickBot="1">
      <c r="A214" s="337"/>
      <c r="B214" s="305"/>
      <c r="C214" s="364"/>
      <c r="D214" s="414" t="s">
        <v>104</v>
      </c>
      <c r="E214" s="340">
        <v>293000</v>
      </c>
      <c r="F214" s="341">
        <v>293000</v>
      </c>
      <c r="G214" s="323">
        <f>SUM(F214/E214)</f>
        <v>1</v>
      </c>
      <c r="H214" s="336"/>
      <c r="I214" s="246"/>
    </row>
    <row r="215" spans="1:9" s="303" customFormat="1" ht="14.25" customHeight="1" thickTop="1">
      <c r="A215" s="199"/>
      <c r="B215" s="295"/>
      <c r="C215" s="412"/>
      <c r="D215" s="412"/>
      <c r="E215" s="336"/>
      <c r="F215" s="238"/>
      <c r="G215" s="228"/>
      <c r="H215" s="336"/>
      <c r="I215" s="246"/>
    </row>
    <row r="216" spans="1:9" s="303" customFormat="1" ht="14.25" customHeight="1">
      <c r="A216" s="199">
        <v>751</v>
      </c>
      <c r="B216" s="295"/>
      <c r="C216" s="412"/>
      <c r="D216" s="412" t="s">
        <v>105</v>
      </c>
      <c r="E216" s="336"/>
      <c r="F216" s="238"/>
      <c r="G216" s="228"/>
      <c r="H216" s="336"/>
      <c r="I216" s="246"/>
    </row>
    <row r="217" spans="1:9" s="303" customFormat="1" ht="14.25" customHeight="1">
      <c r="A217" s="199"/>
      <c r="B217" s="296"/>
      <c r="C217" s="411"/>
      <c r="D217" s="411" t="s">
        <v>106</v>
      </c>
      <c r="E217" s="334">
        <f>SUM(E220)+E227</f>
        <v>71314</v>
      </c>
      <c r="F217" s="335">
        <f>SUM(F220)+F227</f>
        <v>70437.13</v>
      </c>
      <c r="G217" s="209">
        <f>SUM(F217/E217)</f>
        <v>0.9877</v>
      </c>
      <c r="H217" s="336"/>
      <c r="I217" s="246"/>
    </row>
    <row r="218" spans="1:9" s="303" customFormat="1" ht="14.25" customHeight="1">
      <c r="A218" s="199"/>
      <c r="B218" s="295"/>
      <c r="C218" s="412"/>
      <c r="D218" s="412"/>
      <c r="E218" s="336"/>
      <c r="F218" s="238"/>
      <c r="G218" s="228"/>
      <c r="H218" s="336"/>
      <c r="I218" s="246"/>
    </row>
    <row r="219" spans="1:9" s="303" customFormat="1" ht="14.25" customHeight="1">
      <c r="A219" s="199"/>
      <c r="B219" s="295">
        <v>75101</v>
      </c>
      <c r="C219" s="412"/>
      <c r="D219" s="412" t="s">
        <v>91</v>
      </c>
      <c r="E219" s="336"/>
      <c r="F219" s="238"/>
      <c r="G219" s="228"/>
      <c r="H219" s="336"/>
      <c r="I219" s="246"/>
    </row>
    <row r="220" spans="1:9" s="303" customFormat="1" ht="14.25" customHeight="1">
      <c r="A220" s="199"/>
      <c r="B220" s="295"/>
      <c r="C220" s="411"/>
      <c r="D220" s="411" t="s">
        <v>92</v>
      </c>
      <c r="E220" s="334">
        <f>SUM(E224)</f>
        <v>6564</v>
      </c>
      <c r="F220" s="335">
        <f>SUM(F224)</f>
        <v>6562.13</v>
      </c>
      <c r="G220" s="209">
        <f>SUM(F220/E220)</f>
        <v>0.9997</v>
      </c>
      <c r="H220" s="336"/>
      <c r="I220" s="246"/>
    </row>
    <row r="221" spans="1:9" s="303" customFormat="1" ht="14.25" customHeight="1">
      <c r="A221" s="199"/>
      <c r="B221" s="295"/>
      <c r="C221" s="412"/>
      <c r="D221" s="412"/>
      <c r="E221" s="336"/>
      <c r="F221" s="238"/>
      <c r="G221" s="228"/>
      <c r="H221" s="336"/>
      <c r="I221" s="246"/>
    </row>
    <row r="222" spans="1:9" s="303" customFormat="1" ht="14.25" customHeight="1">
      <c r="A222" s="199"/>
      <c r="B222" s="295"/>
      <c r="C222" s="327">
        <v>2010</v>
      </c>
      <c r="D222" s="412" t="s">
        <v>102</v>
      </c>
      <c r="E222" s="336"/>
      <c r="F222" s="238"/>
      <c r="G222" s="228"/>
      <c r="H222" s="336"/>
      <c r="I222" s="246"/>
    </row>
    <row r="223" spans="1:9" s="303" customFormat="1" ht="14.25" customHeight="1">
      <c r="A223" s="199"/>
      <c r="B223" s="295"/>
      <c r="C223" s="327"/>
      <c r="D223" s="412" t="s">
        <v>103</v>
      </c>
      <c r="E223" s="336"/>
      <c r="F223" s="238"/>
      <c r="G223" s="228"/>
      <c r="H223" s="336"/>
      <c r="I223" s="246"/>
    </row>
    <row r="224" spans="1:9" s="303" customFormat="1" ht="14.25" customHeight="1">
      <c r="A224" s="199"/>
      <c r="B224" s="316"/>
      <c r="C224" s="316"/>
      <c r="D224" s="411" t="s">
        <v>104</v>
      </c>
      <c r="E224" s="334">
        <v>6564</v>
      </c>
      <c r="F224" s="335">
        <v>6562.13</v>
      </c>
      <c r="G224" s="209">
        <f>SUM(F224/E224)</f>
        <v>0.9997</v>
      </c>
      <c r="H224" s="336"/>
      <c r="I224" s="246"/>
    </row>
    <row r="225" spans="1:9" s="303" customFormat="1" ht="14.25" customHeight="1">
      <c r="A225" s="199"/>
      <c r="B225" s="295"/>
      <c r="C225" s="412"/>
      <c r="D225" s="412" t="s">
        <v>55</v>
      </c>
      <c r="E225" s="336"/>
      <c r="F225" s="238"/>
      <c r="G225" s="228"/>
      <c r="H225" s="336"/>
      <c r="I225" s="246"/>
    </row>
    <row r="226" spans="1:9" s="303" customFormat="1" ht="14.25" customHeight="1">
      <c r="A226" s="199"/>
      <c r="B226" s="295">
        <v>75109</v>
      </c>
      <c r="C226" s="236"/>
      <c r="D226" s="412" t="s">
        <v>56</v>
      </c>
      <c r="E226" s="336"/>
      <c r="F226" s="238"/>
      <c r="G226" s="228"/>
      <c r="H226" s="336"/>
      <c r="I226" s="246"/>
    </row>
    <row r="227" spans="1:9" s="303" customFormat="1" ht="14.25" customHeight="1">
      <c r="A227" s="199"/>
      <c r="B227" s="295"/>
      <c r="C227" s="411"/>
      <c r="D227" s="411" t="s">
        <v>57</v>
      </c>
      <c r="E227" s="334">
        <f>SUM(E231)</f>
        <v>64750</v>
      </c>
      <c r="F227" s="335">
        <f>SUM(F231)</f>
        <v>63875</v>
      </c>
      <c r="G227" s="209">
        <f>SUM(F227/E227)</f>
        <v>0.9865</v>
      </c>
      <c r="H227" s="336"/>
      <c r="I227" s="246"/>
    </row>
    <row r="228" spans="1:9" s="303" customFormat="1" ht="14.25" customHeight="1">
      <c r="A228" s="199"/>
      <c r="B228" s="295"/>
      <c r="C228" s="412"/>
      <c r="D228" s="412"/>
      <c r="E228" s="336"/>
      <c r="F228" s="238"/>
      <c r="G228" s="228"/>
      <c r="H228" s="336"/>
      <c r="I228" s="246"/>
    </row>
    <row r="229" spans="1:9" s="303" customFormat="1" ht="14.25" customHeight="1">
      <c r="A229" s="199"/>
      <c r="B229" s="295"/>
      <c r="C229" s="327">
        <v>2010</v>
      </c>
      <c r="D229" s="412" t="s">
        <v>102</v>
      </c>
      <c r="E229" s="336"/>
      <c r="F229" s="238"/>
      <c r="G229" s="228"/>
      <c r="H229" s="336"/>
      <c r="I229" s="246"/>
    </row>
    <row r="230" spans="1:9" s="303" customFormat="1" ht="14.25" customHeight="1">
      <c r="A230" s="199"/>
      <c r="B230" s="295"/>
      <c r="C230" s="327"/>
      <c r="D230" s="412" t="s">
        <v>103</v>
      </c>
      <c r="E230" s="336"/>
      <c r="F230" s="238"/>
      <c r="G230" s="228"/>
      <c r="H230" s="336"/>
      <c r="I230" s="246"/>
    </row>
    <row r="231" spans="1:9" s="303" customFormat="1" ht="14.25" customHeight="1" thickBot="1">
      <c r="A231" s="337"/>
      <c r="B231" s="305"/>
      <c r="C231" s="364"/>
      <c r="D231" s="414" t="s">
        <v>104</v>
      </c>
      <c r="E231" s="340">
        <v>64750</v>
      </c>
      <c r="F231" s="341">
        <v>63875</v>
      </c>
      <c r="G231" s="323">
        <f>SUM(F231/E231)</f>
        <v>0.9865</v>
      </c>
      <c r="H231" s="336"/>
      <c r="I231" s="246"/>
    </row>
    <row r="232" spans="1:9" s="303" customFormat="1" ht="14.25" customHeight="1" thickTop="1">
      <c r="A232" s="199"/>
      <c r="B232" s="236"/>
      <c r="C232" s="412"/>
      <c r="D232" s="412"/>
      <c r="E232" s="336"/>
      <c r="F232" s="238"/>
      <c r="G232" s="228"/>
      <c r="H232" s="336"/>
      <c r="I232" s="246"/>
    </row>
    <row r="233" spans="1:9" s="303" customFormat="1" ht="14.25" customHeight="1">
      <c r="A233" s="415">
        <v>851</v>
      </c>
      <c r="B233" s="296"/>
      <c r="C233" s="411"/>
      <c r="D233" s="411" t="s">
        <v>288</v>
      </c>
      <c r="E233" s="334">
        <f>SUM(E235+E242+E249+E256+E263)</f>
        <v>1800</v>
      </c>
      <c r="F233" s="335">
        <f>SUM(F235+F242+F249+F256+F263)</f>
        <v>1800</v>
      </c>
      <c r="G233" s="209">
        <f>SUM(F233/E233)</f>
        <v>1</v>
      </c>
      <c r="H233" s="336"/>
      <c r="I233" s="246"/>
    </row>
    <row r="234" spans="1:9" s="303" customFormat="1" ht="14.25" customHeight="1">
      <c r="A234" s="415"/>
      <c r="B234" s="295"/>
      <c r="C234" s="412"/>
      <c r="D234" s="412"/>
      <c r="E234" s="336"/>
      <c r="F234" s="238"/>
      <c r="G234" s="228"/>
      <c r="H234" s="336"/>
      <c r="I234" s="246"/>
    </row>
    <row r="235" spans="1:9" s="303" customFormat="1" ht="14.25" customHeight="1">
      <c r="A235" s="415"/>
      <c r="B235" s="295">
        <v>85195</v>
      </c>
      <c r="C235" s="411"/>
      <c r="D235" s="411" t="s">
        <v>81</v>
      </c>
      <c r="E235" s="334">
        <f>SUM(E239)</f>
        <v>1800</v>
      </c>
      <c r="F235" s="335">
        <f>SUM(F239)</f>
        <v>1800</v>
      </c>
      <c r="G235" s="209">
        <f>SUM(F235/E235)</f>
        <v>1</v>
      </c>
      <c r="H235" s="336"/>
      <c r="I235" s="246"/>
    </row>
    <row r="236" spans="1:9" s="303" customFormat="1" ht="14.25" customHeight="1">
      <c r="A236" s="415"/>
      <c r="B236" s="327"/>
      <c r="C236" s="412"/>
      <c r="D236" s="412"/>
      <c r="E236" s="336"/>
      <c r="F236" s="350"/>
      <c r="G236" s="228"/>
      <c r="H236" s="336"/>
      <c r="I236" s="246"/>
    </row>
    <row r="237" spans="1:9" s="303" customFormat="1" ht="14.25" customHeight="1">
      <c r="A237" s="415"/>
      <c r="B237" s="327"/>
      <c r="C237" s="327">
        <v>2010</v>
      </c>
      <c r="D237" s="412" t="s">
        <v>102</v>
      </c>
      <c r="E237" s="336"/>
      <c r="F237" s="238"/>
      <c r="G237" s="228"/>
      <c r="H237" s="336"/>
      <c r="I237" s="246"/>
    </row>
    <row r="238" spans="1:9" s="303" customFormat="1" ht="14.25" customHeight="1">
      <c r="A238" s="415"/>
      <c r="B238" s="327"/>
      <c r="C238" s="327"/>
      <c r="D238" s="412" t="s">
        <v>103</v>
      </c>
      <c r="E238" s="336"/>
      <c r="F238" s="238"/>
      <c r="G238" s="228"/>
      <c r="H238" s="336"/>
      <c r="I238" s="246"/>
    </row>
    <row r="239" spans="1:9" s="303" customFormat="1" ht="14.25" customHeight="1" thickBot="1">
      <c r="A239" s="416"/>
      <c r="B239" s="364"/>
      <c r="C239" s="364"/>
      <c r="D239" s="414" t="s">
        <v>104</v>
      </c>
      <c r="E239" s="340">
        <v>1800</v>
      </c>
      <c r="F239" s="341">
        <v>1800</v>
      </c>
      <c r="G239" s="323">
        <f>SUM(F239/E239)</f>
        <v>1</v>
      </c>
      <c r="H239" s="336"/>
      <c r="I239" s="246"/>
    </row>
    <row r="240" spans="1:9" s="303" customFormat="1" ht="14.25" customHeight="1" thickTop="1">
      <c r="A240" s="199"/>
      <c r="B240" s="236"/>
      <c r="C240" s="412"/>
      <c r="D240" s="412"/>
      <c r="E240" s="336"/>
      <c r="F240" s="238"/>
      <c r="G240" s="228"/>
      <c r="H240" s="336"/>
      <c r="I240" s="246"/>
    </row>
    <row r="241" spans="1:9" s="303" customFormat="1" ht="14.25" customHeight="1">
      <c r="A241" s="415">
        <v>852</v>
      </c>
      <c r="B241" s="296"/>
      <c r="C241" s="411"/>
      <c r="D241" s="411" t="s">
        <v>151</v>
      </c>
      <c r="E241" s="334">
        <f>SUM(E243+E250+E257+E264+E271+E278)</f>
        <v>9539391</v>
      </c>
      <c r="F241" s="335">
        <f>SUM(F243+F250+F257+F264+F271+F278)</f>
        <v>9266817.49</v>
      </c>
      <c r="G241" s="209">
        <f>SUM(F241/E241)</f>
        <v>0.9714</v>
      </c>
      <c r="H241" s="336"/>
      <c r="I241" s="246"/>
    </row>
    <row r="242" spans="1:9" s="303" customFormat="1" ht="14.25" customHeight="1">
      <c r="A242" s="415"/>
      <c r="B242" s="295"/>
      <c r="C242" s="412"/>
      <c r="D242" s="412"/>
      <c r="E242" s="336"/>
      <c r="F242" s="238"/>
      <c r="G242" s="349"/>
      <c r="H242" s="336"/>
      <c r="I242" s="246"/>
    </row>
    <row r="243" spans="1:9" s="303" customFormat="1" ht="14.25" customHeight="1">
      <c r="A243" s="415"/>
      <c r="B243" s="295">
        <v>85203</v>
      </c>
      <c r="C243" s="411"/>
      <c r="D243" s="411" t="s">
        <v>158</v>
      </c>
      <c r="E243" s="334">
        <f>SUM(E247)</f>
        <v>127000</v>
      </c>
      <c r="F243" s="335">
        <f>SUM(F247)</f>
        <v>127000</v>
      </c>
      <c r="G243" s="209">
        <f>SUM(F243/E243)</f>
        <v>1</v>
      </c>
      <c r="H243" s="336"/>
      <c r="I243" s="246"/>
    </row>
    <row r="244" spans="1:9" s="303" customFormat="1" ht="14.25" customHeight="1">
      <c r="A244" s="415"/>
      <c r="B244" s="327"/>
      <c r="C244" s="412"/>
      <c r="D244" s="412"/>
      <c r="E244" s="336"/>
      <c r="F244" s="350"/>
      <c r="G244" s="228"/>
      <c r="H244" s="336"/>
      <c r="I244" s="246"/>
    </row>
    <row r="245" spans="1:9" s="303" customFormat="1" ht="14.25" customHeight="1">
      <c r="A245" s="415"/>
      <c r="B245" s="327"/>
      <c r="C245" s="327">
        <v>2010</v>
      </c>
      <c r="D245" s="412" t="s">
        <v>102</v>
      </c>
      <c r="E245" s="336"/>
      <c r="F245" s="238"/>
      <c r="G245" s="228"/>
      <c r="H245" s="336"/>
      <c r="I245" s="246"/>
    </row>
    <row r="246" spans="1:9" s="303" customFormat="1" ht="14.25" customHeight="1">
      <c r="A246" s="415"/>
      <c r="B246" s="327"/>
      <c r="C246" s="327"/>
      <c r="D246" s="412" t="s">
        <v>103</v>
      </c>
      <c r="E246" s="336"/>
      <c r="F246" s="238"/>
      <c r="G246" s="228"/>
      <c r="H246" s="336"/>
      <c r="I246" s="246"/>
    </row>
    <row r="247" spans="1:9" s="303" customFormat="1" ht="14.25" customHeight="1">
      <c r="A247" s="415"/>
      <c r="B247" s="316"/>
      <c r="C247" s="316"/>
      <c r="D247" s="411" t="s">
        <v>104</v>
      </c>
      <c r="E247" s="334">
        <v>127000</v>
      </c>
      <c r="F247" s="335">
        <v>127000</v>
      </c>
      <c r="G247" s="209">
        <f>SUM(F247/E247)</f>
        <v>1</v>
      </c>
      <c r="H247" s="336"/>
      <c r="I247" s="246"/>
    </row>
    <row r="248" spans="1:9" s="303" customFormat="1" ht="14.25" customHeight="1">
      <c r="A248" s="415"/>
      <c r="B248" s="319"/>
      <c r="C248" s="352"/>
      <c r="D248" s="412"/>
      <c r="E248" s="336"/>
      <c r="F248" s="238"/>
      <c r="G248" s="228"/>
      <c r="H248" s="336"/>
      <c r="I248" s="246"/>
    </row>
    <row r="249" spans="1:9" s="303" customFormat="1" ht="14.25" customHeight="1">
      <c r="A249" s="415"/>
      <c r="B249" s="327"/>
      <c r="C249" s="352"/>
      <c r="D249" s="412" t="s">
        <v>50</v>
      </c>
      <c r="E249" s="336"/>
      <c r="F249" s="238"/>
      <c r="G249" s="228"/>
      <c r="H249" s="336"/>
      <c r="I249" s="246"/>
    </row>
    <row r="250" spans="1:9" s="303" customFormat="1" ht="14.25" customHeight="1">
      <c r="A250" s="415"/>
      <c r="B250" s="327">
        <v>85212</v>
      </c>
      <c r="C250" s="377"/>
      <c r="D250" s="411" t="s">
        <v>51</v>
      </c>
      <c r="E250" s="334">
        <f>SUM(E254)</f>
        <v>8434426</v>
      </c>
      <c r="F250" s="335">
        <f>SUM(F254)</f>
        <v>8186556.64</v>
      </c>
      <c r="G250" s="209">
        <f>SUM(F250/E250)</f>
        <v>0.9706</v>
      </c>
      <c r="H250" s="336"/>
      <c r="I250" s="246"/>
    </row>
    <row r="251" spans="1:9" s="303" customFormat="1" ht="14.25" customHeight="1">
      <c r="A251" s="415"/>
      <c r="B251" s="327"/>
      <c r="C251" s="352"/>
      <c r="D251" s="412"/>
      <c r="E251" s="336"/>
      <c r="F251" s="238"/>
      <c r="G251" s="228"/>
      <c r="H251" s="336"/>
      <c r="I251" s="246"/>
    </row>
    <row r="252" spans="1:9" s="303" customFormat="1" ht="14.25" customHeight="1">
      <c r="A252" s="415"/>
      <c r="B252" s="327"/>
      <c r="C252" s="352">
        <v>2010</v>
      </c>
      <c r="D252" s="412" t="s">
        <v>102</v>
      </c>
      <c r="E252" s="336"/>
      <c r="F252" s="238"/>
      <c r="G252" s="228"/>
      <c r="H252" s="336"/>
      <c r="I252" s="246"/>
    </row>
    <row r="253" spans="1:9" s="303" customFormat="1" ht="14.25" customHeight="1">
      <c r="A253" s="415"/>
      <c r="B253" s="327"/>
      <c r="C253" s="352"/>
      <c r="D253" s="412" t="s">
        <v>103</v>
      </c>
      <c r="E253" s="336"/>
      <c r="F253" s="238"/>
      <c r="G253" s="228"/>
      <c r="H253" s="336"/>
      <c r="I253" s="246"/>
    </row>
    <row r="254" spans="1:9" s="303" customFormat="1" ht="14.25" customHeight="1">
      <c r="A254" s="415"/>
      <c r="B254" s="316"/>
      <c r="C254" s="316"/>
      <c r="D254" s="411" t="s">
        <v>104</v>
      </c>
      <c r="E254" s="334">
        <v>8434426</v>
      </c>
      <c r="F254" s="335">
        <v>8186556.64</v>
      </c>
      <c r="G254" s="209">
        <f>SUM(F254/E254)</f>
        <v>0.9706</v>
      </c>
      <c r="H254" s="336"/>
      <c r="I254" s="246"/>
    </row>
    <row r="255" spans="1:9" s="303" customFormat="1" ht="14.25" customHeight="1">
      <c r="A255" s="415"/>
      <c r="B255" s="327"/>
      <c r="C255" s="412"/>
      <c r="D255" s="412"/>
      <c r="E255" s="336"/>
      <c r="F255" s="238"/>
      <c r="G255" s="228"/>
      <c r="H255" s="336"/>
      <c r="I255" s="246"/>
    </row>
    <row r="256" spans="1:9" s="303" customFormat="1" ht="14.25" customHeight="1">
      <c r="A256" s="415"/>
      <c r="B256" s="327">
        <v>85213</v>
      </c>
      <c r="C256" s="412"/>
      <c r="D256" s="412" t="s">
        <v>58</v>
      </c>
      <c r="E256" s="336"/>
      <c r="F256" s="238"/>
      <c r="G256" s="228"/>
      <c r="H256" s="336"/>
      <c r="I256" s="246"/>
    </row>
    <row r="257" spans="1:9" s="303" customFormat="1" ht="14.25" customHeight="1">
      <c r="A257" s="199"/>
      <c r="B257" s="295"/>
      <c r="C257" s="412"/>
      <c r="D257" s="412" t="s">
        <v>59</v>
      </c>
      <c r="E257" s="336">
        <f>SUM(E262)</f>
        <v>91500</v>
      </c>
      <c r="F257" s="238">
        <f>SUM(F262)</f>
        <v>89790.03</v>
      </c>
      <c r="G257" s="228">
        <f>SUM(F257/E257)</f>
        <v>0.9813</v>
      </c>
      <c r="H257" s="336"/>
      <c r="I257" s="246"/>
    </row>
    <row r="258" spans="1:9" s="303" customFormat="1" ht="14.25" customHeight="1">
      <c r="A258" s="199"/>
      <c r="B258" s="327"/>
      <c r="C258" s="411"/>
      <c r="D258" s="411" t="s">
        <v>74</v>
      </c>
      <c r="E258" s="334"/>
      <c r="F258" s="335"/>
      <c r="G258" s="209"/>
      <c r="H258" s="336"/>
      <c r="I258" s="246"/>
    </row>
    <row r="259" spans="1:9" s="303" customFormat="1" ht="14.25" customHeight="1">
      <c r="A259" s="199"/>
      <c r="B259" s="327"/>
      <c r="C259" s="412"/>
      <c r="D259" s="412"/>
      <c r="E259" s="336"/>
      <c r="F259" s="238"/>
      <c r="G259" s="228"/>
      <c r="H259" s="336"/>
      <c r="I259" s="246"/>
    </row>
    <row r="260" spans="1:9" s="303" customFormat="1" ht="14.25" customHeight="1">
      <c r="A260" s="199"/>
      <c r="B260" s="327"/>
      <c r="C260" s="327">
        <v>2010</v>
      </c>
      <c r="D260" s="412" t="s">
        <v>102</v>
      </c>
      <c r="E260" s="336"/>
      <c r="F260" s="238"/>
      <c r="G260" s="228"/>
      <c r="H260" s="336"/>
      <c r="I260" s="246"/>
    </row>
    <row r="261" spans="1:9" s="303" customFormat="1" ht="14.25" customHeight="1">
      <c r="A261" s="199"/>
      <c r="B261" s="327"/>
      <c r="C261" s="327"/>
      <c r="D261" s="412" t="s">
        <v>103</v>
      </c>
      <c r="E261" s="336"/>
      <c r="F261" s="238"/>
      <c r="G261" s="228"/>
      <c r="H261" s="336"/>
      <c r="I261" s="246"/>
    </row>
    <row r="262" spans="1:9" s="303" customFormat="1" ht="14.25" customHeight="1" thickBot="1">
      <c r="A262" s="417"/>
      <c r="B262" s="356"/>
      <c r="C262" s="356"/>
      <c r="D262" s="418" t="s">
        <v>104</v>
      </c>
      <c r="E262" s="359">
        <v>91500</v>
      </c>
      <c r="F262" s="360">
        <v>89790.03</v>
      </c>
      <c r="G262" s="361">
        <f>SUM(F262/E262)</f>
        <v>0.9813</v>
      </c>
      <c r="H262" s="336"/>
      <c r="I262" s="246"/>
    </row>
    <row r="263" spans="1:9" s="303" customFormat="1" ht="14.25" customHeight="1">
      <c r="A263" s="419"/>
      <c r="B263" s="420"/>
      <c r="C263" s="421"/>
      <c r="D263" s="421"/>
      <c r="E263" s="422"/>
      <c r="F263" s="423"/>
      <c r="G263" s="265"/>
      <c r="H263" s="336"/>
      <c r="I263" s="246"/>
    </row>
    <row r="264" spans="1:9" s="303" customFormat="1" ht="26.25" customHeight="1">
      <c r="A264" s="199"/>
      <c r="B264" s="424">
        <v>85214</v>
      </c>
      <c r="C264" s="411"/>
      <c r="D264" s="425" t="s">
        <v>60</v>
      </c>
      <c r="E264" s="334">
        <f>SUM(E268)</f>
        <v>737937</v>
      </c>
      <c r="F264" s="335">
        <f>SUM(F268)</f>
        <v>714942.82</v>
      </c>
      <c r="G264" s="209">
        <f>SUM(F264/E264)</f>
        <v>0.9688</v>
      </c>
      <c r="H264" s="246"/>
      <c r="I264" s="246"/>
    </row>
    <row r="265" spans="1:9" s="303" customFormat="1" ht="14.25" customHeight="1">
      <c r="A265" s="199"/>
      <c r="B265" s="327"/>
      <c r="C265" s="412"/>
      <c r="D265" s="412"/>
      <c r="E265" s="336"/>
      <c r="F265" s="238"/>
      <c r="G265" s="228"/>
      <c r="H265" s="336"/>
      <c r="I265" s="246"/>
    </row>
    <row r="266" spans="1:9" s="303" customFormat="1" ht="14.25" customHeight="1">
      <c r="A266" s="199"/>
      <c r="B266" s="327"/>
      <c r="C266" s="327">
        <v>2010</v>
      </c>
      <c r="D266" s="412" t="s">
        <v>102</v>
      </c>
      <c r="E266" s="336"/>
      <c r="F266" s="238"/>
      <c r="G266" s="228"/>
      <c r="H266" s="336"/>
      <c r="I266" s="246"/>
    </row>
    <row r="267" spans="1:9" s="303" customFormat="1" ht="14.25" customHeight="1">
      <c r="A267" s="199"/>
      <c r="B267" s="327"/>
      <c r="C267" s="327"/>
      <c r="D267" s="412" t="s">
        <v>103</v>
      </c>
      <c r="E267" s="336"/>
      <c r="F267" s="238"/>
      <c r="G267" s="228"/>
      <c r="H267" s="336"/>
      <c r="I267" s="246"/>
    </row>
    <row r="268" spans="1:9" s="303" customFormat="1" ht="14.25" customHeight="1">
      <c r="A268" s="199"/>
      <c r="B268" s="316"/>
      <c r="C268" s="316"/>
      <c r="D268" s="411" t="s">
        <v>104</v>
      </c>
      <c r="E268" s="336">
        <v>737937</v>
      </c>
      <c r="F268" s="238">
        <v>714942.82</v>
      </c>
      <c r="G268" s="209">
        <f>SUM(F268/E268)</f>
        <v>0.9688</v>
      </c>
      <c r="H268" s="336"/>
      <c r="I268" s="246"/>
    </row>
    <row r="269" spans="1:9" s="433" customFormat="1" ht="14.25" customHeight="1">
      <c r="A269" s="426"/>
      <c r="B269" s="427"/>
      <c r="C269" s="428"/>
      <c r="D269" s="428"/>
      <c r="E269" s="429"/>
      <c r="F269" s="430"/>
      <c r="G269" s="431"/>
      <c r="H269" s="432"/>
      <c r="I269" s="249"/>
    </row>
    <row r="270" spans="1:9" s="303" customFormat="1" ht="14.25" customHeight="1">
      <c r="A270" s="199"/>
      <c r="B270" s="295"/>
      <c r="C270" s="412"/>
      <c r="D270" s="412"/>
      <c r="E270" s="336"/>
      <c r="F270" s="238"/>
      <c r="G270" s="228"/>
      <c r="H270" s="336"/>
      <c r="I270" s="246"/>
    </row>
    <row r="271" spans="1:9" s="303" customFormat="1" ht="14.25" customHeight="1">
      <c r="A271" s="199"/>
      <c r="B271" s="295">
        <v>85228</v>
      </c>
      <c r="C271" s="411"/>
      <c r="D271" s="411" t="s">
        <v>155</v>
      </c>
      <c r="E271" s="334">
        <f>SUM(E275)</f>
        <v>126000</v>
      </c>
      <c r="F271" s="335">
        <f>SUM(F275)</f>
        <v>126000</v>
      </c>
      <c r="G271" s="209">
        <f>SUM(F271/E271)</f>
        <v>1</v>
      </c>
      <c r="H271" s="336"/>
      <c r="I271" s="246"/>
    </row>
    <row r="272" spans="1:9" s="303" customFormat="1" ht="14.25" customHeight="1">
      <c r="A272" s="199"/>
      <c r="B272" s="295"/>
      <c r="C272" s="412"/>
      <c r="D272" s="412"/>
      <c r="E272" s="336"/>
      <c r="F272" s="238"/>
      <c r="G272" s="228"/>
      <c r="H272" s="336"/>
      <c r="I272" s="246"/>
    </row>
    <row r="273" spans="1:9" s="303" customFormat="1" ht="14.25" customHeight="1">
      <c r="A273" s="199"/>
      <c r="B273" s="295"/>
      <c r="C273" s="327">
        <v>2010</v>
      </c>
      <c r="D273" s="412" t="s">
        <v>102</v>
      </c>
      <c r="E273" s="336"/>
      <c r="F273" s="238"/>
      <c r="G273" s="228"/>
      <c r="H273" s="336"/>
      <c r="I273" s="246"/>
    </row>
    <row r="274" spans="1:9" s="303" customFormat="1" ht="14.25" customHeight="1">
      <c r="A274" s="199"/>
      <c r="B274" s="295"/>
      <c r="C274" s="327"/>
      <c r="D274" s="412" t="s">
        <v>103</v>
      </c>
      <c r="E274" s="336"/>
      <c r="F274" s="238"/>
      <c r="G274" s="228"/>
      <c r="H274" s="336"/>
      <c r="I274" s="246"/>
    </row>
    <row r="275" spans="1:9" s="303" customFormat="1" ht="14.25" customHeight="1">
      <c r="A275" s="245"/>
      <c r="B275" s="353"/>
      <c r="C275" s="316"/>
      <c r="D275" s="411" t="s">
        <v>104</v>
      </c>
      <c r="E275" s="334">
        <v>126000</v>
      </c>
      <c r="F275" s="335">
        <v>126000</v>
      </c>
      <c r="G275" s="209">
        <f>SUM(F275/E275)</f>
        <v>1</v>
      </c>
      <c r="H275" s="336"/>
      <c r="I275" s="246"/>
    </row>
    <row r="276" spans="1:9" s="433" customFormat="1" ht="14.25" customHeight="1">
      <c r="A276" s="426"/>
      <c r="B276" s="427"/>
      <c r="C276" s="434"/>
      <c r="D276" s="434"/>
      <c r="E276" s="432"/>
      <c r="F276" s="251"/>
      <c r="G276" s="431"/>
      <c r="H276" s="432"/>
      <c r="I276" s="249"/>
    </row>
    <row r="277" spans="1:9" s="303" customFormat="1" ht="14.25" customHeight="1">
      <c r="A277" s="199"/>
      <c r="B277" s="295"/>
      <c r="C277" s="412"/>
      <c r="D277" s="412"/>
      <c r="E277" s="336"/>
      <c r="F277" s="238"/>
      <c r="G277" s="228"/>
      <c r="H277" s="336"/>
      <c r="I277" s="246"/>
    </row>
    <row r="278" spans="1:9" s="303" customFormat="1" ht="14.25" customHeight="1">
      <c r="A278" s="199"/>
      <c r="B278" s="295">
        <v>85278</v>
      </c>
      <c r="C278" s="411"/>
      <c r="D278" s="411" t="s">
        <v>228</v>
      </c>
      <c r="E278" s="334">
        <f>SUM(E282)</f>
        <v>22528</v>
      </c>
      <c r="F278" s="335">
        <f>SUM(F282)</f>
        <v>22528</v>
      </c>
      <c r="G278" s="209">
        <f>SUM(F278/E278)</f>
        <v>1</v>
      </c>
      <c r="H278" s="336"/>
      <c r="I278" s="246"/>
    </row>
    <row r="279" spans="1:9" s="303" customFormat="1" ht="14.25" customHeight="1">
      <c r="A279" s="199"/>
      <c r="B279" s="295"/>
      <c r="C279" s="412"/>
      <c r="D279" s="412"/>
      <c r="E279" s="336"/>
      <c r="F279" s="238"/>
      <c r="G279" s="228"/>
      <c r="H279" s="336"/>
      <c r="I279" s="246"/>
    </row>
    <row r="280" spans="1:9" s="303" customFormat="1" ht="14.25" customHeight="1">
      <c r="A280" s="199"/>
      <c r="B280" s="295"/>
      <c r="C280" s="327">
        <v>2010</v>
      </c>
      <c r="D280" s="412" t="s">
        <v>102</v>
      </c>
      <c r="E280" s="336"/>
      <c r="F280" s="238"/>
      <c r="G280" s="228"/>
      <c r="H280" s="336"/>
      <c r="I280" s="246"/>
    </row>
    <row r="281" spans="1:9" s="303" customFormat="1" ht="14.25" customHeight="1">
      <c r="A281" s="199"/>
      <c r="B281" s="295"/>
      <c r="C281" s="327"/>
      <c r="D281" s="412" t="s">
        <v>103</v>
      </c>
      <c r="E281" s="336"/>
      <c r="F281" s="238"/>
      <c r="G281" s="228"/>
      <c r="H281" s="336"/>
      <c r="I281" s="246"/>
    </row>
    <row r="282" spans="1:9" s="303" customFormat="1" ht="14.25" customHeight="1" thickBot="1">
      <c r="A282" s="417"/>
      <c r="B282" s="435"/>
      <c r="C282" s="356"/>
      <c r="D282" s="418" t="s">
        <v>104</v>
      </c>
      <c r="E282" s="359">
        <v>22528</v>
      </c>
      <c r="F282" s="360">
        <v>22528</v>
      </c>
      <c r="G282" s="361">
        <f>SUM(F282/E282)</f>
        <v>1</v>
      </c>
      <c r="H282" s="336"/>
      <c r="I282" s="246"/>
    </row>
    <row r="283" spans="1:9" s="51" customFormat="1" ht="14.25" customHeight="1">
      <c r="A283" s="436"/>
      <c r="B283" s="437"/>
      <c r="C283" s="438"/>
      <c r="D283" s="438"/>
      <c r="E283" s="439"/>
      <c r="F283" s="440"/>
      <c r="G283" s="265"/>
      <c r="H283" s="388"/>
      <c r="I283" s="196"/>
    </row>
    <row r="284" spans="1:9" s="398" customFormat="1" ht="14.25" customHeight="1" thickBot="1">
      <c r="A284" s="390"/>
      <c r="B284" s="391"/>
      <c r="C284" s="441"/>
      <c r="D284" s="441" t="s">
        <v>290</v>
      </c>
      <c r="E284" s="394">
        <f>SUM(E208+E217+E241+E233+E200)</f>
        <v>9906364</v>
      </c>
      <c r="F284" s="395">
        <f>SUM(F208+F217+F241+F233+F200)</f>
        <v>9632913.47</v>
      </c>
      <c r="G284" s="396">
        <f>SUM(F284/E284)</f>
        <v>0.9724</v>
      </c>
      <c r="H284" s="397"/>
      <c r="I284" s="239"/>
    </row>
    <row r="285" spans="1:9" s="51" customFormat="1" ht="30" customHeight="1">
      <c r="A285" s="275" t="s">
        <v>61</v>
      </c>
      <c r="B285" s="275"/>
      <c r="C285" s="275"/>
      <c r="D285" s="275"/>
      <c r="E285" s="275"/>
      <c r="F285" s="275"/>
      <c r="G285" s="275"/>
      <c r="H285" s="399"/>
      <c r="I285" s="196"/>
    </row>
    <row r="286" spans="1:9" s="51" customFormat="1" ht="14.25" customHeight="1">
      <c r="A286" s="274" t="s">
        <v>62</v>
      </c>
      <c r="B286" s="274"/>
      <c r="C286" s="274"/>
      <c r="D286" s="275"/>
      <c r="E286" s="274"/>
      <c r="F286" s="274"/>
      <c r="G286" s="274"/>
      <c r="H286" s="399"/>
      <c r="I286" s="196"/>
    </row>
    <row r="287" spans="1:9" s="51" customFormat="1" ht="14.25" customHeight="1" thickBot="1">
      <c r="A287" s="442"/>
      <c r="B287" s="399"/>
      <c r="C287" s="399"/>
      <c r="D287" s="197"/>
      <c r="E287" s="443"/>
      <c r="F287" s="443"/>
      <c r="G287" s="443" t="s">
        <v>124</v>
      </c>
      <c r="H287" s="399"/>
      <c r="I287" s="196"/>
    </row>
    <row r="288" spans="1:9" s="398" customFormat="1" ht="31.5" customHeight="1">
      <c r="A288" s="534" t="s">
        <v>265</v>
      </c>
      <c r="B288" s="535" t="s">
        <v>291</v>
      </c>
      <c r="C288" s="536" t="s">
        <v>90</v>
      </c>
      <c r="D288" s="535" t="s">
        <v>292</v>
      </c>
      <c r="E288" s="535" t="s">
        <v>234</v>
      </c>
      <c r="F288" s="535" t="s">
        <v>24</v>
      </c>
      <c r="G288" s="537" t="s">
        <v>63</v>
      </c>
      <c r="H288" s="195"/>
      <c r="I288" s="239"/>
    </row>
    <row r="289" spans="1:9" s="51" customFormat="1" ht="14.25" customHeight="1" thickBot="1">
      <c r="A289" s="538">
        <v>1</v>
      </c>
      <c r="B289" s="539">
        <v>2</v>
      </c>
      <c r="C289" s="516">
        <v>3</v>
      </c>
      <c r="D289" s="516">
        <v>4</v>
      </c>
      <c r="E289" s="540">
        <v>5</v>
      </c>
      <c r="F289" s="541">
        <v>6</v>
      </c>
      <c r="G289" s="517">
        <v>7</v>
      </c>
      <c r="H289" s="197"/>
      <c r="I289" s="196"/>
    </row>
    <row r="290" spans="1:9" s="51" customFormat="1" ht="14.25" customHeight="1">
      <c r="A290" s="529"/>
      <c r="B290" s="239"/>
      <c r="C290" s="444"/>
      <c r="D290" s="445"/>
      <c r="E290" s="239"/>
      <c r="F290" s="151"/>
      <c r="G290" s="446"/>
      <c r="H290" s="196"/>
      <c r="I290" s="196"/>
    </row>
    <row r="291" spans="1:9" s="51" customFormat="1" ht="14.25" customHeight="1">
      <c r="A291" s="245">
        <v>600</v>
      </c>
      <c r="B291" s="243"/>
      <c r="C291" s="411"/>
      <c r="D291" s="231" t="s">
        <v>267</v>
      </c>
      <c r="E291" s="334">
        <f>SUM(E293)</f>
        <v>245000</v>
      </c>
      <c r="F291" s="335">
        <f>SUM(F293)</f>
        <v>245000</v>
      </c>
      <c r="G291" s="209">
        <f>SUM(F291/E291)</f>
        <v>1</v>
      </c>
      <c r="H291" s="196"/>
      <c r="I291" s="196"/>
    </row>
    <row r="292" spans="1:9" s="51" customFormat="1" ht="14.25" customHeight="1">
      <c r="A292" s="245"/>
      <c r="B292" s="366"/>
      <c r="C292" s="447"/>
      <c r="D292" s="237" t="s">
        <v>64</v>
      </c>
      <c r="E292" s="336"/>
      <c r="F292" s="238"/>
      <c r="G292" s="228"/>
      <c r="H292" s="196"/>
      <c r="I292" s="196"/>
    </row>
    <row r="293" spans="1:9" s="51" customFormat="1" ht="14.25" customHeight="1">
      <c r="A293" s="199"/>
      <c r="B293" s="327">
        <v>60014</v>
      </c>
      <c r="C293" s="411"/>
      <c r="D293" s="231" t="s">
        <v>107</v>
      </c>
      <c r="E293" s="334">
        <f>SUM(E297)</f>
        <v>245000</v>
      </c>
      <c r="F293" s="335">
        <f>SUM(F297)</f>
        <v>245000</v>
      </c>
      <c r="G293" s="209">
        <f>SUM(F293/E293)</f>
        <v>1</v>
      </c>
      <c r="H293" s="196"/>
      <c r="I293" s="196"/>
    </row>
    <row r="294" spans="1:9" s="51" customFormat="1" ht="14.25" customHeight="1">
      <c r="A294" s="199"/>
      <c r="B294" s="327"/>
      <c r="C294" s="237"/>
      <c r="D294" s="237"/>
      <c r="E294" s="336"/>
      <c r="F294" s="238"/>
      <c r="G294" s="228"/>
      <c r="H294" s="196"/>
      <c r="I294" s="196"/>
    </row>
    <row r="295" spans="1:9" s="51" customFormat="1" ht="14.25" customHeight="1">
      <c r="A295" s="199"/>
      <c r="B295" s="327"/>
      <c r="C295" s="327">
        <v>2320</v>
      </c>
      <c r="D295" s="237" t="s">
        <v>65</v>
      </c>
      <c r="E295" s="336"/>
      <c r="F295" s="238"/>
      <c r="G295" s="228"/>
      <c r="H295" s="196"/>
      <c r="I295" s="196"/>
    </row>
    <row r="296" spans="1:9" s="51" customFormat="1" ht="14.25" customHeight="1">
      <c r="A296" s="199"/>
      <c r="B296" s="327"/>
      <c r="C296" s="327"/>
      <c r="D296" s="320" t="s">
        <v>66</v>
      </c>
      <c r="E296" s="336"/>
      <c r="F296" s="238"/>
      <c r="G296" s="228"/>
      <c r="H296" s="196"/>
      <c r="I296" s="196"/>
    </row>
    <row r="297" spans="1:9" s="51" customFormat="1" ht="14.25" customHeight="1">
      <c r="A297" s="245"/>
      <c r="B297" s="352"/>
      <c r="C297" s="327"/>
      <c r="D297" s="320" t="s">
        <v>71</v>
      </c>
      <c r="E297" s="336">
        <v>245000</v>
      </c>
      <c r="F297" s="238">
        <v>245000</v>
      </c>
      <c r="G297" s="228">
        <f>SUM(F297/E297)</f>
        <v>1</v>
      </c>
      <c r="H297" s="196"/>
      <c r="I297" s="196"/>
    </row>
    <row r="298" spans="1:9" s="51" customFormat="1" ht="14.25" customHeight="1" thickBot="1">
      <c r="A298" s="448"/>
      <c r="B298" s="449"/>
      <c r="C298" s="450"/>
      <c r="D298" s="393"/>
      <c r="E298" s="449"/>
      <c r="F298" s="451"/>
      <c r="G298" s="452"/>
      <c r="H298" s="196"/>
      <c r="I298" s="196"/>
    </row>
    <row r="299" spans="1:9" s="254" customFormat="1" ht="14.25" customHeight="1">
      <c r="A299" s="453"/>
      <c r="B299" s="454"/>
      <c r="C299" s="455"/>
      <c r="D299" s="454"/>
      <c r="E299" s="456"/>
      <c r="F299" s="457"/>
      <c r="G299" s="458"/>
      <c r="H299" s="260"/>
      <c r="I299" s="260"/>
    </row>
    <row r="300" spans="1:9" s="254" customFormat="1" ht="14.25" customHeight="1" thickBot="1">
      <c r="A300" s="459"/>
      <c r="B300" s="460"/>
      <c r="C300" s="461"/>
      <c r="D300" s="462" t="s">
        <v>290</v>
      </c>
      <c r="E300" s="463">
        <f>SUM(E291)</f>
        <v>245000</v>
      </c>
      <c r="F300" s="464">
        <f>SUM(F291)</f>
        <v>245000</v>
      </c>
      <c r="G300" s="465">
        <f>SUM(F300/E300)</f>
        <v>1</v>
      </c>
      <c r="H300" s="466"/>
      <c r="I300" s="260"/>
    </row>
    <row r="301" spans="1:11" s="469" customFormat="1" ht="30" customHeight="1">
      <c r="A301" s="467" t="s">
        <v>67</v>
      </c>
      <c r="B301" s="468"/>
      <c r="C301" s="468"/>
      <c r="D301" s="468"/>
      <c r="E301" s="468"/>
      <c r="F301" s="468"/>
      <c r="G301" s="468"/>
      <c r="K301" s="470"/>
    </row>
    <row r="302" spans="1:11" s="181" customFormat="1" ht="12.75" thickBot="1">
      <c r="A302" s="30"/>
      <c r="B302" s="30"/>
      <c r="C302" s="30"/>
      <c r="D302" s="30"/>
      <c r="E302" s="30"/>
      <c r="F302" s="29"/>
      <c r="G302" s="29" t="s">
        <v>124</v>
      </c>
      <c r="K302" s="247"/>
    </row>
    <row r="303" spans="1:11" s="181" customFormat="1" ht="12">
      <c r="A303" s="578" t="s">
        <v>265</v>
      </c>
      <c r="B303" s="579" t="s">
        <v>291</v>
      </c>
      <c r="C303" s="579" t="s">
        <v>90</v>
      </c>
      <c r="D303" s="579" t="s">
        <v>292</v>
      </c>
      <c r="E303" s="579" t="s">
        <v>234</v>
      </c>
      <c r="F303" s="579" t="s">
        <v>128</v>
      </c>
      <c r="G303" s="532" t="s">
        <v>115</v>
      </c>
      <c r="K303" s="247"/>
    </row>
    <row r="304" spans="1:11" s="181" customFormat="1" ht="12">
      <c r="A304" s="566"/>
      <c r="B304" s="580"/>
      <c r="C304" s="580"/>
      <c r="D304" s="580"/>
      <c r="E304" s="580"/>
      <c r="F304" s="580"/>
      <c r="G304" s="533" t="s">
        <v>120</v>
      </c>
      <c r="K304" s="247"/>
    </row>
    <row r="305" spans="1:11" s="181" customFormat="1" ht="12.75" thickBot="1">
      <c r="A305" s="542">
        <v>1</v>
      </c>
      <c r="B305" s="543">
        <v>2</v>
      </c>
      <c r="C305" s="543">
        <v>3</v>
      </c>
      <c r="D305" s="544">
        <v>4</v>
      </c>
      <c r="E305" s="543">
        <v>5</v>
      </c>
      <c r="F305" s="543">
        <v>6</v>
      </c>
      <c r="G305" s="545">
        <v>7</v>
      </c>
      <c r="K305" s="247"/>
    </row>
    <row r="306" spans="1:11" s="181" customFormat="1" ht="12">
      <c r="A306" s="34"/>
      <c r="B306" s="35"/>
      <c r="C306" s="35"/>
      <c r="D306" s="36"/>
      <c r="E306" s="530"/>
      <c r="F306" s="530"/>
      <c r="G306" s="531"/>
      <c r="K306" s="247"/>
    </row>
    <row r="307" spans="1:11" s="181" customFormat="1" ht="12.75">
      <c r="A307" s="471">
        <v>750</v>
      </c>
      <c r="B307" s="472"/>
      <c r="C307" s="473"/>
      <c r="D307" s="36" t="s">
        <v>270</v>
      </c>
      <c r="E307" s="474">
        <f>E309</f>
        <v>180000</v>
      </c>
      <c r="F307" s="475">
        <f>F309</f>
        <v>193998.5</v>
      </c>
      <c r="G307" s="476">
        <f>F307/E307</f>
        <v>1.0778</v>
      </c>
      <c r="K307" s="247"/>
    </row>
    <row r="308" spans="1:11" s="181" customFormat="1" ht="12.75">
      <c r="A308" s="471"/>
      <c r="B308" s="477"/>
      <c r="C308" s="477"/>
      <c r="D308" s="33"/>
      <c r="E308" s="478"/>
      <c r="F308" s="479"/>
      <c r="G308" s="480"/>
      <c r="K308" s="247"/>
    </row>
    <row r="309" spans="1:11" s="181" customFormat="1" ht="12.75">
      <c r="A309" s="471"/>
      <c r="B309" s="473">
        <v>75011</v>
      </c>
      <c r="C309" s="472"/>
      <c r="D309" s="37" t="s">
        <v>123</v>
      </c>
      <c r="E309" s="481">
        <f>SUM(E311:E311)</f>
        <v>180000</v>
      </c>
      <c r="F309" s="482">
        <f>SUM(F311:F311)</f>
        <v>193998.5</v>
      </c>
      <c r="G309" s="476">
        <f>F309/E309</f>
        <v>1.0778</v>
      </c>
      <c r="K309" s="247"/>
    </row>
    <row r="310" spans="1:11" s="181" customFormat="1" ht="12.75">
      <c r="A310" s="471"/>
      <c r="B310" s="473"/>
      <c r="C310" s="477"/>
      <c r="D310" s="33"/>
      <c r="E310" s="478"/>
      <c r="F310" s="483"/>
      <c r="G310" s="480"/>
      <c r="K310" s="247"/>
    </row>
    <row r="311" spans="1:11" s="181" customFormat="1" ht="13.5" thickBot="1">
      <c r="A311" s="484"/>
      <c r="B311" s="485"/>
      <c r="C311" s="486" t="s">
        <v>166</v>
      </c>
      <c r="D311" s="38" t="s">
        <v>201</v>
      </c>
      <c r="E311" s="487">
        <v>180000</v>
      </c>
      <c r="F311" s="488">
        <v>193998.5</v>
      </c>
      <c r="G311" s="489">
        <f>F311/E311</f>
        <v>1.0778</v>
      </c>
      <c r="K311" s="247"/>
    </row>
    <row r="312" spans="1:11" s="181" customFormat="1" ht="13.5" thickTop="1">
      <c r="A312" s="31"/>
      <c r="B312" s="32"/>
      <c r="C312" s="32"/>
      <c r="D312" s="33"/>
      <c r="E312" s="478"/>
      <c r="F312" s="479"/>
      <c r="G312" s="490"/>
      <c r="K312" s="247"/>
    </row>
    <row r="313" spans="1:11" s="181" customFormat="1" ht="12.75">
      <c r="A313" s="471">
        <v>852</v>
      </c>
      <c r="B313" s="472"/>
      <c r="C313" s="473"/>
      <c r="D313" s="36" t="s">
        <v>151</v>
      </c>
      <c r="E313" s="474">
        <f>SUM(E316+E320)</f>
        <v>7000</v>
      </c>
      <c r="F313" s="475">
        <f>SUM(F316+F320)</f>
        <v>12782.13</v>
      </c>
      <c r="G313" s="476">
        <f>F313/E313</f>
        <v>1.826</v>
      </c>
      <c r="K313" s="247"/>
    </row>
    <row r="314" spans="1:11" s="181" customFormat="1" ht="12.75">
      <c r="A314" s="471"/>
      <c r="B314" s="477"/>
      <c r="C314" s="477"/>
      <c r="D314" s="33"/>
      <c r="E314" s="478"/>
      <c r="F314" s="479"/>
      <c r="G314" s="480"/>
      <c r="K314" s="247"/>
    </row>
    <row r="315" spans="1:11" s="181" customFormat="1" ht="12.75">
      <c r="A315" s="471"/>
      <c r="B315" s="491">
        <v>85212</v>
      </c>
      <c r="C315" s="473"/>
      <c r="D315" s="26" t="s">
        <v>226</v>
      </c>
      <c r="E315" s="492"/>
      <c r="F315" s="493"/>
      <c r="G315" s="476"/>
      <c r="K315" s="247"/>
    </row>
    <row r="316" spans="1:11" s="181" customFormat="1" ht="12.75">
      <c r="A316" s="471"/>
      <c r="B316" s="473"/>
      <c r="C316" s="473"/>
      <c r="D316" s="27" t="s">
        <v>227</v>
      </c>
      <c r="E316" s="474">
        <f>SUM(E318)</f>
        <v>0</v>
      </c>
      <c r="F316" s="493">
        <f>SUM(F318)</f>
        <v>9421.13</v>
      </c>
      <c r="G316" s="476"/>
      <c r="K316" s="247"/>
    </row>
    <row r="317" spans="1:11" s="181" customFormat="1" ht="12.75">
      <c r="A317" s="471"/>
      <c r="B317" s="473"/>
      <c r="C317" s="477"/>
      <c r="D317" s="33"/>
      <c r="E317" s="478"/>
      <c r="F317" s="483"/>
      <c r="G317" s="480"/>
      <c r="K317" s="247"/>
    </row>
    <row r="318" spans="1:11" s="181" customFormat="1" ht="12.75">
      <c r="A318" s="494"/>
      <c r="B318" s="472"/>
      <c r="C318" s="495" t="s">
        <v>164</v>
      </c>
      <c r="D318" s="28" t="s">
        <v>199</v>
      </c>
      <c r="E318" s="481">
        <v>0</v>
      </c>
      <c r="F318" s="496">
        <v>9421.13</v>
      </c>
      <c r="G318" s="497"/>
      <c r="K318" s="247"/>
    </row>
    <row r="319" spans="1:11" s="181" customFormat="1" ht="12.75">
      <c r="A319" s="494"/>
      <c r="B319" s="477"/>
      <c r="C319" s="477"/>
      <c r="D319" s="33"/>
      <c r="E319" s="478"/>
      <c r="F319" s="479"/>
      <c r="G319" s="480"/>
      <c r="K319" s="247"/>
    </row>
    <row r="320" spans="1:11" s="181" customFormat="1" ht="12.75">
      <c r="A320" s="494"/>
      <c r="B320" s="473">
        <v>85228</v>
      </c>
      <c r="C320" s="472"/>
      <c r="D320" s="37" t="s">
        <v>155</v>
      </c>
      <c r="E320" s="481">
        <f>SUM(E322)</f>
        <v>7000</v>
      </c>
      <c r="F320" s="482">
        <f>SUM(F322)</f>
        <v>3361</v>
      </c>
      <c r="G320" s="497">
        <f>F320/E320</f>
        <v>0.4801</v>
      </c>
      <c r="K320" s="247"/>
    </row>
    <row r="321" spans="1:11" s="181" customFormat="1" ht="12.75">
      <c r="A321" s="494"/>
      <c r="B321" s="473"/>
      <c r="C321" s="477"/>
      <c r="D321" s="33"/>
      <c r="E321" s="478"/>
      <c r="F321" s="479"/>
      <c r="G321" s="490"/>
      <c r="K321" s="247"/>
    </row>
    <row r="322" spans="1:11" s="181" customFormat="1" ht="13.5" thickBot="1">
      <c r="A322" s="494"/>
      <c r="B322" s="473"/>
      <c r="C322" s="498" t="s">
        <v>186</v>
      </c>
      <c r="D322" s="36" t="s">
        <v>204</v>
      </c>
      <c r="E322" s="474">
        <v>7000</v>
      </c>
      <c r="F322" s="493">
        <v>3361</v>
      </c>
      <c r="G322" s="476">
        <f>F322/E322</f>
        <v>0.4801</v>
      </c>
      <c r="K322" s="247"/>
    </row>
    <row r="323" spans="1:11" s="181" customFormat="1" ht="14.25">
      <c r="A323" s="39"/>
      <c r="B323" s="40"/>
      <c r="C323" s="41"/>
      <c r="D323" s="43"/>
      <c r="E323" s="42"/>
      <c r="F323" s="499"/>
      <c r="G323" s="500"/>
      <c r="K323" s="247"/>
    </row>
    <row r="324" spans="1:11" s="181" customFormat="1" ht="15.75" thickBot="1">
      <c r="A324" s="44"/>
      <c r="B324" s="45"/>
      <c r="C324" s="46"/>
      <c r="D324" s="46" t="s">
        <v>290</v>
      </c>
      <c r="E324" s="47">
        <f>SUM(E307,E313)</f>
        <v>187000</v>
      </c>
      <c r="F324" s="501">
        <f>SUM(F307,F313)</f>
        <v>206780.63</v>
      </c>
      <c r="G324" s="502">
        <f>F324/E324</f>
        <v>1.1058</v>
      </c>
      <c r="K324" s="247"/>
    </row>
  </sheetData>
  <mergeCells count="38">
    <mergeCell ref="F303:F304"/>
    <mergeCell ref="C126:D126"/>
    <mergeCell ref="A193:G193"/>
    <mergeCell ref="A194:G194"/>
    <mergeCell ref="A196:A197"/>
    <mergeCell ref="B196:B197"/>
    <mergeCell ref="C196:C197"/>
    <mergeCell ref="D196:D197"/>
    <mergeCell ref="E196:E197"/>
    <mergeCell ref="F196:F197"/>
    <mergeCell ref="G196:G197"/>
    <mergeCell ref="C91:D91"/>
    <mergeCell ref="C95:D95"/>
    <mergeCell ref="C100:D100"/>
    <mergeCell ref="C102:D102"/>
    <mergeCell ref="C93:D93"/>
    <mergeCell ref="G5:G6"/>
    <mergeCell ref="C52:C53"/>
    <mergeCell ref="A56:A57"/>
    <mergeCell ref="B56:B57"/>
    <mergeCell ref="C56:D57"/>
    <mergeCell ref="E56:E57"/>
    <mergeCell ref="F56:F57"/>
    <mergeCell ref="G56:G57"/>
    <mergeCell ref="B1:F1"/>
    <mergeCell ref="B3:F3"/>
    <mergeCell ref="B5:B6"/>
    <mergeCell ref="C5:D6"/>
    <mergeCell ref="E5:E6"/>
    <mergeCell ref="F5:F6"/>
    <mergeCell ref="A303:A304"/>
    <mergeCell ref="B303:B304"/>
    <mergeCell ref="C303:C304"/>
    <mergeCell ref="D303:D304"/>
    <mergeCell ref="E303:E304"/>
    <mergeCell ref="C65:D65"/>
    <mergeCell ref="C67:D67"/>
    <mergeCell ref="C89:D89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72" r:id="rId1"/>
  <rowBreaks count="5" manualBreakCount="5">
    <brk id="53" max="6" man="1"/>
    <brk id="125" max="6" man="1"/>
    <brk id="192" max="6" man="1"/>
    <brk id="262" max="6" man="1"/>
    <brk id="2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2007-04-06T08:02:57Z</dcterms:modified>
  <cp:category/>
  <cp:version/>
  <cp:contentType/>
  <cp:contentStatus/>
</cp:coreProperties>
</file>